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BWL\###YouTubeVideos\#Video 2\"/>
    </mc:Choice>
  </mc:AlternateContent>
  <xr:revisionPtr revIDLastSave="0" documentId="13_ncr:1_{7AE8367B-DAFA-4884-B766-0DD13E165CBA}" xr6:coauthVersionLast="45" xr6:coauthVersionMax="45" xr10:uidLastSave="{00000000-0000-0000-0000-000000000000}"/>
  <bookViews>
    <workbookView xWindow="-120" yWindow="-120" windowWidth="29040" windowHeight="15840" tabRatio="854" xr2:uid="{00000000-000D-0000-FFFF-FFFF00000000}"/>
  </bookViews>
  <sheets>
    <sheet name="BASF" sheetId="1" r:id="rId1"/>
    <sheet name="Thyssen" sheetId="4" r:id="rId2"/>
    <sheet name="Siemens" sheetId="6" r:id="rId3"/>
    <sheet name="VW" sheetId="9" r:id="rId4"/>
    <sheet name="SAP" sheetId="10" r:id="rId5"/>
    <sheet name="Bayer" sheetId="20" r:id="rId6"/>
    <sheet name="Chart Data" sheetId="2" r:id="rId7"/>
    <sheet name="ROCE" sheetId="8" r:id="rId8"/>
    <sheet name="ROCE-Zerlegung" sheetId="11" r:id="rId9"/>
    <sheet name="EBITA margin" sheetId="2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20" l="1"/>
  <c r="N42" i="20"/>
  <c r="M42" i="20"/>
  <c r="N35" i="20"/>
  <c r="N29" i="20" s="1"/>
  <c r="N25" i="20"/>
  <c r="N27" i="20" s="1"/>
  <c r="N61" i="20" s="1"/>
  <c r="N58" i="20"/>
  <c r="N56" i="20"/>
  <c r="N54" i="20"/>
  <c r="N52" i="20"/>
  <c r="N50" i="20"/>
  <c r="N41" i="20"/>
  <c r="N40" i="20"/>
  <c r="N31" i="20"/>
  <c r="N14" i="20"/>
  <c r="N3" i="20"/>
  <c r="M40" i="2" s="1"/>
  <c r="N2" i="20"/>
  <c r="M36" i="2" s="1"/>
  <c r="N51" i="20" l="1"/>
  <c r="N57" i="20"/>
  <c r="N59" i="20" s="1"/>
  <c r="N30" i="20"/>
  <c r="N45" i="20"/>
  <c r="N39" i="20"/>
  <c r="N8" i="20"/>
  <c r="N55" i="20"/>
  <c r="N53" i="20" s="1"/>
  <c r="M8" i="2"/>
  <c r="N17" i="9"/>
  <c r="N8" i="9" s="1"/>
  <c r="M33" i="2" s="1"/>
  <c r="N42" i="9"/>
  <c r="N35" i="9"/>
  <c r="N29" i="9" s="1"/>
  <c r="N32" i="9"/>
  <c r="N25" i="9"/>
  <c r="N27" i="9" s="1"/>
  <c r="N61" i="9" s="1"/>
  <c r="N58" i="9"/>
  <c r="N56" i="9"/>
  <c r="N54" i="9"/>
  <c r="N52" i="9"/>
  <c r="N41" i="9"/>
  <c r="N40" i="9"/>
  <c r="N31" i="9"/>
  <c r="N50" i="9" s="1"/>
  <c r="N16" i="9"/>
  <c r="N14" i="9"/>
  <c r="N3" i="9"/>
  <c r="M27" i="2" s="1"/>
  <c r="N2" i="9"/>
  <c r="N5" i="11" l="1"/>
  <c r="M41" i="2"/>
  <c r="N17" i="11"/>
  <c r="N47" i="20"/>
  <c r="N46" i="20"/>
  <c r="N51" i="9"/>
  <c r="N45" i="9"/>
  <c r="N46" i="9" s="1"/>
  <c r="N30" i="9"/>
  <c r="N57" i="9"/>
  <c r="N59" i="9"/>
  <c r="N55" i="9"/>
  <c r="N39" i="9"/>
  <c r="M30" i="2"/>
  <c r="M17" i="1"/>
  <c r="N42" i="1"/>
  <c r="N35" i="1"/>
  <c r="N29" i="1" s="1"/>
  <c r="N32" i="1"/>
  <c r="N25" i="1"/>
  <c r="N27" i="1" s="1"/>
  <c r="M14" i="1"/>
  <c r="N58" i="1"/>
  <c r="N56" i="1"/>
  <c r="N54" i="1"/>
  <c r="N52" i="1"/>
  <c r="N50" i="1"/>
  <c r="N41" i="1"/>
  <c r="N40" i="1"/>
  <c r="N31" i="1"/>
  <c r="N17" i="1"/>
  <c r="N8" i="1" s="1"/>
  <c r="N2" i="11" s="1"/>
  <c r="N14" i="1"/>
  <c r="N3" i="1"/>
  <c r="N2" i="1"/>
  <c r="M2" i="2" s="1"/>
  <c r="M24" i="2" l="1"/>
  <c r="N48" i="20"/>
  <c r="N53" i="9"/>
  <c r="N47" i="9"/>
  <c r="N30" i="1"/>
  <c r="N45" i="1"/>
  <c r="N46" i="1" s="1"/>
  <c r="N61" i="1"/>
  <c r="N55" i="1"/>
  <c r="N39" i="1"/>
  <c r="N57" i="1"/>
  <c r="N59" i="1" s="1"/>
  <c r="N51" i="1"/>
  <c r="M34" i="2"/>
  <c r="N42" i="10"/>
  <c r="M42" i="10"/>
  <c r="N16" i="10"/>
  <c r="N35" i="10"/>
  <c r="N58" i="10"/>
  <c r="N57" i="10"/>
  <c r="N56" i="10"/>
  <c r="N54" i="10"/>
  <c r="N52" i="10"/>
  <c r="N51" i="10"/>
  <c r="N41" i="10"/>
  <c r="N40" i="10"/>
  <c r="N39" i="10" s="1"/>
  <c r="N31" i="10"/>
  <c r="N50" i="10" s="1"/>
  <c r="N29" i="10"/>
  <c r="N30" i="10" s="1"/>
  <c r="N27" i="10"/>
  <c r="N17" i="10"/>
  <c r="N8" i="10" s="1"/>
  <c r="N8" i="11" s="1"/>
  <c r="N14" i="10"/>
  <c r="N3" i="10"/>
  <c r="N2" i="10"/>
  <c r="M10" i="2" s="1"/>
  <c r="M28" i="2" l="1"/>
  <c r="N48" i="9"/>
  <c r="N47" i="1"/>
  <c r="N53" i="1"/>
  <c r="N59" i="10"/>
  <c r="N45" i="10"/>
  <c r="N46" i="10" s="1"/>
  <c r="N61" i="10"/>
  <c r="N55" i="10"/>
  <c r="N53" i="10" s="1"/>
  <c r="M25" i="2"/>
  <c r="M14" i="4"/>
  <c r="N16" i="4"/>
  <c r="M16" i="4"/>
  <c r="N35" i="4"/>
  <c r="N29" i="4" s="1"/>
  <c r="M35" i="4"/>
  <c r="N34" i="4"/>
  <c r="M34" i="4"/>
  <c r="N32" i="4"/>
  <c r="M42" i="4"/>
  <c r="N42" i="4"/>
  <c r="M32" i="4"/>
  <c r="N25" i="4"/>
  <c r="N27" i="4" s="1"/>
  <c r="N61" i="4" s="1"/>
  <c r="M25" i="4"/>
  <c r="N58" i="4"/>
  <c r="N56" i="4"/>
  <c r="N54" i="4"/>
  <c r="N52" i="4"/>
  <c r="N50" i="4"/>
  <c r="N41" i="4"/>
  <c r="N40" i="4"/>
  <c r="N31" i="4"/>
  <c r="N17" i="4"/>
  <c r="N8" i="4" s="1"/>
  <c r="M31" i="2" s="1"/>
  <c r="N14" i="4"/>
  <c r="N3" i="4"/>
  <c r="N2" i="4"/>
  <c r="M4" i="2" s="1"/>
  <c r="M26" i="2"/>
  <c r="N19" i="6"/>
  <c r="N18" i="6" s="1"/>
  <c r="N17" i="6" s="1"/>
  <c r="N16" i="6" s="1"/>
  <c r="N42" i="6"/>
  <c r="N35" i="6"/>
  <c r="N29" i="6" s="1"/>
  <c r="N25" i="6"/>
  <c r="N27" i="6" s="1"/>
  <c r="N58" i="6"/>
  <c r="N56" i="6"/>
  <c r="N54" i="6"/>
  <c r="N52" i="6"/>
  <c r="N41" i="6"/>
  <c r="N40" i="6"/>
  <c r="N31" i="6"/>
  <c r="N50" i="6" s="1"/>
  <c r="N14" i="6"/>
  <c r="N3" i="6"/>
  <c r="N2" i="6"/>
  <c r="M6" i="2" l="1"/>
  <c r="N14" i="11"/>
  <c r="N48" i="1"/>
  <c r="N47" i="10"/>
  <c r="N48" i="10" s="1"/>
  <c r="N51" i="4"/>
  <c r="N57" i="4"/>
  <c r="N45" i="4"/>
  <c r="N46" i="4" s="1"/>
  <c r="N30" i="4"/>
  <c r="N59" i="4"/>
  <c r="N55" i="4"/>
  <c r="N39" i="4"/>
  <c r="N8" i="6"/>
  <c r="N45" i="6"/>
  <c r="N46" i="6" s="1"/>
  <c r="N30" i="6"/>
  <c r="N39" i="6"/>
  <c r="N61" i="6"/>
  <c r="N55" i="6"/>
  <c r="N59" i="6"/>
  <c r="N57" i="6"/>
  <c r="N51" i="6"/>
  <c r="M17" i="20"/>
  <c r="M35" i="20"/>
  <c r="M25" i="20"/>
  <c r="M35" i="10"/>
  <c r="M16" i="9"/>
  <c r="M42" i="9"/>
  <c r="M25" i="9"/>
  <c r="M35" i="9"/>
  <c r="M32" i="9"/>
  <c r="M32" i="2" l="1"/>
  <c r="N11" i="11"/>
  <c r="N53" i="4"/>
  <c r="N47" i="4"/>
  <c r="N48" i="4" s="1"/>
  <c r="N47" i="6"/>
  <c r="N48" i="6" s="1"/>
  <c r="N53" i="6"/>
  <c r="M17" i="6"/>
  <c r="M16" i="6" s="1"/>
  <c r="M42" i="6"/>
  <c r="L42" i="6"/>
  <c r="M25" i="6"/>
  <c r="M40" i="6"/>
  <c r="M35" i="6"/>
  <c r="L17" i="4"/>
  <c r="L16" i="4"/>
  <c r="L32" i="4"/>
  <c r="M42" i="1"/>
  <c r="M35" i="1"/>
  <c r="M32" i="1"/>
  <c r="M25" i="1"/>
  <c r="L17" i="1"/>
  <c r="M58" i="20" l="1"/>
  <c r="M56" i="20"/>
  <c r="M54" i="20"/>
  <c r="M52" i="20"/>
  <c r="M51" i="20"/>
  <c r="M50" i="20"/>
  <c r="M41" i="20"/>
  <c r="M40" i="20"/>
  <c r="M31" i="20"/>
  <c r="M29" i="20"/>
  <c r="M30" i="20" s="1"/>
  <c r="M27" i="20"/>
  <c r="M8" i="20"/>
  <c r="M14" i="20"/>
  <c r="M3" i="20"/>
  <c r="M2" i="20"/>
  <c r="M58" i="10"/>
  <c r="M56" i="10"/>
  <c r="M54" i="10"/>
  <c r="M52" i="10"/>
  <c r="M51" i="10"/>
  <c r="M41" i="10"/>
  <c r="M45" i="10" s="1"/>
  <c r="M46" i="10" s="1"/>
  <c r="M40" i="10"/>
  <c r="M31" i="10"/>
  <c r="M50" i="10" s="1"/>
  <c r="M29" i="10"/>
  <c r="M30" i="10" s="1"/>
  <c r="M57" i="10"/>
  <c r="M17" i="10"/>
  <c r="M16" i="10" s="1"/>
  <c r="M14" i="10"/>
  <c r="M3" i="10"/>
  <c r="M2" i="10"/>
  <c r="M58" i="9"/>
  <c r="M56" i="9"/>
  <c r="M54" i="9"/>
  <c r="M52" i="9"/>
  <c r="M41" i="9"/>
  <c r="M45" i="9" s="1"/>
  <c r="M46" i="9" s="1"/>
  <c r="M40" i="9"/>
  <c r="M29" i="9"/>
  <c r="M30" i="9" s="1"/>
  <c r="M51" i="9"/>
  <c r="M31" i="9"/>
  <c r="M50" i="9" s="1"/>
  <c r="M27" i="9"/>
  <c r="M57" i="9"/>
  <c r="M17" i="9"/>
  <c r="M8" i="9" s="1"/>
  <c r="M14" i="9"/>
  <c r="M3" i="9"/>
  <c r="M2" i="9"/>
  <c r="M58" i="4"/>
  <c r="M56" i="4"/>
  <c r="M54" i="4"/>
  <c r="M52" i="4"/>
  <c r="M51" i="4"/>
  <c r="M50" i="4"/>
  <c r="M41" i="4"/>
  <c r="M40" i="4"/>
  <c r="M31" i="4"/>
  <c r="M29" i="4"/>
  <c r="M30" i="4" s="1"/>
  <c r="M57" i="4"/>
  <c r="M17" i="4"/>
  <c r="M3" i="4"/>
  <c r="M2" i="4"/>
  <c r="M58" i="1"/>
  <c r="M56" i="1"/>
  <c r="M54" i="1"/>
  <c r="M52" i="1"/>
  <c r="M51" i="1"/>
  <c r="M50" i="1"/>
  <c r="M41" i="1"/>
  <c r="M45" i="1" s="1"/>
  <c r="M40" i="1"/>
  <c r="M31" i="1"/>
  <c r="M29" i="1"/>
  <c r="M30" i="1" s="1"/>
  <c r="M27" i="1"/>
  <c r="M57" i="1"/>
  <c r="M3" i="1"/>
  <c r="M2" i="1"/>
  <c r="N4" i="20" l="1"/>
  <c r="N12" i="20"/>
  <c r="M39" i="2" s="1"/>
  <c r="N5" i="20"/>
  <c r="N11" i="20"/>
  <c r="M38" i="2" s="1"/>
  <c r="L36" i="2"/>
  <c r="N7" i="20"/>
  <c r="N9" i="20"/>
  <c r="N9" i="9"/>
  <c r="N7" i="9"/>
  <c r="M17" i="11"/>
  <c r="L33" i="2"/>
  <c r="M61" i="9"/>
  <c r="N11" i="9"/>
  <c r="M19" i="2" s="1"/>
  <c r="N4" i="9"/>
  <c r="N12" i="9"/>
  <c r="M20" i="2" s="1"/>
  <c r="N5" i="9"/>
  <c r="M61" i="1"/>
  <c r="N4" i="1"/>
  <c r="N5" i="1"/>
  <c r="N12" i="1"/>
  <c r="M14" i="2" s="1"/>
  <c r="N11" i="1"/>
  <c r="M13" i="2" s="1"/>
  <c r="N7" i="1"/>
  <c r="N9" i="1"/>
  <c r="L40" i="2"/>
  <c r="L41" i="2"/>
  <c r="M5" i="11"/>
  <c r="N7" i="10"/>
  <c r="N9" i="10"/>
  <c r="N9" i="4"/>
  <c r="N7" i="4"/>
  <c r="L2" i="2"/>
  <c r="L24" i="2"/>
  <c r="L4" i="2"/>
  <c r="L8" i="2"/>
  <c r="L10" i="2"/>
  <c r="L25" i="2"/>
  <c r="L27" i="2"/>
  <c r="L28" i="2"/>
  <c r="M39" i="20"/>
  <c r="M39" i="10"/>
  <c r="M47" i="10" s="1"/>
  <c r="M48" i="10" s="1"/>
  <c r="M8" i="10"/>
  <c r="M55" i="9"/>
  <c r="M53" i="9" s="1"/>
  <c r="M39" i="4"/>
  <c r="M59" i="4"/>
  <c r="M8" i="4"/>
  <c r="M59" i="1"/>
  <c r="M8" i="1"/>
  <c r="M61" i="20"/>
  <c r="M55" i="20"/>
  <c r="M53" i="20" s="1"/>
  <c r="M57" i="20"/>
  <c r="M59" i="20" s="1"/>
  <c r="M45" i="20"/>
  <c r="M46" i="20" s="1"/>
  <c r="M59" i="10"/>
  <c r="M27" i="10"/>
  <c r="M59" i="9"/>
  <c r="M39" i="9"/>
  <c r="M47" i="9" s="1"/>
  <c r="M27" i="4"/>
  <c r="M45" i="4"/>
  <c r="M55" i="1"/>
  <c r="M53" i="1" s="1"/>
  <c r="M46" i="1"/>
  <c r="M39" i="1"/>
  <c r="M47" i="1" s="1"/>
  <c r="M58" i="6"/>
  <c r="M56" i="6"/>
  <c r="M54" i="6"/>
  <c r="M52" i="6"/>
  <c r="M51" i="6"/>
  <c r="M41" i="6"/>
  <c r="M45" i="6" s="1"/>
  <c r="M31" i="6"/>
  <c r="M50" i="6" s="1"/>
  <c r="M29" i="6"/>
  <c r="M30" i="6" s="1"/>
  <c r="M27" i="6"/>
  <c r="M57" i="6"/>
  <c r="M14" i="6"/>
  <c r="M3" i="6"/>
  <c r="M2" i="6"/>
  <c r="N10" i="20" l="1"/>
  <c r="N6" i="11"/>
  <c r="M37" i="2"/>
  <c r="N7" i="11"/>
  <c r="N6" i="20"/>
  <c r="N10" i="10"/>
  <c r="N9" i="11"/>
  <c r="N10" i="11"/>
  <c r="M11" i="2"/>
  <c r="M8" i="11"/>
  <c r="L34" i="2"/>
  <c r="N6" i="9"/>
  <c r="N19" i="11"/>
  <c r="M9" i="2"/>
  <c r="N10" i="9"/>
  <c r="N18" i="11"/>
  <c r="M61" i="6"/>
  <c r="N4" i="6"/>
  <c r="N12" i="6"/>
  <c r="M18" i="2" s="1"/>
  <c r="N11" i="6"/>
  <c r="M17" i="2" s="1"/>
  <c r="N5" i="6"/>
  <c r="N9" i="6"/>
  <c r="N7" i="6"/>
  <c r="N10" i="4"/>
  <c r="N15" i="11"/>
  <c r="M14" i="11"/>
  <c r="L31" i="2"/>
  <c r="N16" i="11"/>
  <c r="M5" i="2"/>
  <c r="N4" i="11"/>
  <c r="M3" i="2"/>
  <c r="N10" i="1"/>
  <c r="N3" i="11"/>
  <c r="N6" i="1"/>
  <c r="M2" i="11"/>
  <c r="L30" i="2"/>
  <c r="N11" i="10"/>
  <c r="M21" i="2" s="1"/>
  <c r="N5" i="10"/>
  <c r="N12" i="10"/>
  <c r="M22" i="2" s="1"/>
  <c r="N4" i="10"/>
  <c r="N5" i="4"/>
  <c r="N12" i="4"/>
  <c r="M16" i="2" s="1"/>
  <c r="N4" i="4"/>
  <c r="N11" i="4"/>
  <c r="M15" i="2" s="1"/>
  <c r="L26" i="2"/>
  <c r="L6" i="2"/>
  <c r="M47" i="20"/>
  <c r="M39" i="6"/>
  <c r="M47" i="6" s="1"/>
  <c r="M47" i="4"/>
  <c r="M48" i="4" s="1"/>
  <c r="M46" i="4"/>
  <c r="M61" i="10"/>
  <c r="M55" i="10"/>
  <c r="M53" i="10" s="1"/>
  <c r="M48" i="9"/>
  <c r="M61" i="4"/>
  <c r="M55" i="4"/>
  <c r="M53" i="4" s="1"/>
  <c r="M48" i="1"/>
  <c r="M46" i="6"/>
  <c r="M8" i="6"/>
  <c r="M59" i="6"/>
  <c r="M55" i="6"/>
  <c r="M53" i="6" s="1"/>
  <c r="L16" i="9"/>
  <c r="L42" i="9"/>
  <c r="L25" i="9"/>
  <c r="L35" i="9"/>
  <c r="L32" i="9"/>
  <c r="N6" i="10" l="1"/>
  <c r="N6" i="6"/>
  <c r="M7" i="2"/>
  <c r="N13" i="11"/>
  <c r="M11" i="11"/>
  <c r="L32" i="2"/>
  <c r="N12" i="11"/>
  <c r="N10" i="6"/>
  <c r="N6" i="4"/>
  <c r="M48" i="20"/>
  <c r="M48" i="6"/>
  <c r="L25" i="10"/>
  <c r="L27" i="10" s="1"/>
  <c r="L17" i="10"/>
  <c r="L8" i="10" s="1"/>
  <c r="L31" i="10"/>
  <c r="L50" i="10" s="1"/>
  <c r="L14" i="10"/>
  <c r="L58" i="10"/>
  <c r="L56" i="10"/>
  <c r="L54" i="10"/>
  <c r="L52" i="10"/>
  <c r="L51" i="10"/>
  <c r="L41" i="10"/>
  <c r="L40" i="10"/>
  <c r="L29" i="10"/>
  <c r="L3" i="10"/>
  <c r="L2" i="10"/>
  <c r="K10" i="2" s="1"/>
  <c r="L31" i="9"/>
  <c r="L50" i="9" s="1"/>
  <c r="L14" i="9"/>
  <c r="L58" i="9"/>
  <c r="L56" i="9"/>
  <c r="L54" i="9"/>
  <c r="L52" i="9"/>
  <c r="L41" i="9"/>
  <c r="L45" i="9" s="1"/>
  <c r="L40" i="9"/>
  <c r="L29" i="9"/>
  <c r="L30" i="9" s="1"/>
  <c r="L51" i="9"/>
  <c r="L27" i="9"/>
  <c r="L17" i="9"/>
  <c r="L8" i="9" s="1"/>
  <c r="L3" i="9"/>
  <c r="L2" i="9"/>
  <c r="L17" i="6"/>
  <c r="L16" i="6" s="1"/>
  <c r="K19" i="6"/>
  <c r="K18" i="6" s="1"/>
  <c r="L25" i="6"/>
  <c r="L31" i="6"/>
  <c r="L14" i="6"/>
  <c r="L58" i="6"/>
  <c r="L57" i="6"/>
  <c r="L56" i="6"/>
  <c r="L54" i="6"/>
  <c r="L52" i="6"/>
  <c r="L51" i="6"/>
  <c r="L50" i="6"/>
  <c r="L41" i="6"/>
  <c r="L40" i="6"/>
  <c r="L29" i="6"/>
  <c r="L30" i="6" s="1"/>
  <c r="L27" i="6"/>
  <c r="L3" i="6"/>
  <c r="L2" i="6"/>
  <c r="K6" i="2" s="1"/>
  <c r="K16" i="4"/>
  <c r="L42" i="4"/>
  <c r="L25" i="4"/>
  <c r="L8" i="11" l="1"/>
  <c r="K34" i="2"/>
  <c r="L17" i="11"/>
  <c r="K33" i="2"/>
  <c r="M5" i="9"/>
  <c r="M12" i="9"/>
  <c r="L20" i="2" s="1"/>
  <c r="M11" i="9"/>
  <c r="L19" i="2" s="1"/>
  <c r="M4" i="9"/>
  <c r="M7" i="9"/>
  <c r="M9" i="9"/>
  <c r="L45" i="6"/>
  <c r="L46" i="6" s="1"/>
  <c r="L61" i="10"/>
  <c r="M5" i="10"/>
  <c r="M4" i="10"/>
  <c r="M12" i="10"/>
  <c r="L22" i="2" s="1"/>
  <c r="M11" i="10"/>
  <c r="L21" i="2" s="1"/>
  <c r="L61" i="6"/>
  <c r="M11" i="6"/>
  <c r="L17" i="2" s="1"/>
  <c r="M4" i="6"/>
  <c r="M12" i="6"/>
  <c r="L18" i="2" s="1"/>
  <c r="M5" i="6"/>
  <c r="M7" i="6"/>
  <c r="M9" i="6"/>
  <c r="K28" i="2"/>
  <c r="K26" i="2"/>
  <c r="K8" i="2"/>
  <c r="L59" i="6"/>
  <c r="K27" i="2"/>
  <c r="L16" i="10"/>
  <c r="L30" i="10"/>
  <c r="M7" i="10" s="1"/>
  <c r="L57" i="10"/>
  <c r="L59" i="10" s="1"/>
  <c r="L45" i="10"/>
  <c r="L46" i="10" s="1"/>
  <c r="L39" i="10"/>
  <c r="L55" i="10"/>
  <c r="L53" i="10" s="1"/>
  <c r="L61" i="9"/>
  <c r="L55" i="9"/>
  <c r="L53" i="9" s="1"/>
  <c r="L46" i="9"/>
  <c r="L39" i="9"/>
  <c r="L47" i="9" s="1"/>
  <c r="L57" i="9"/>
  <c r="L59" i="9" s="1"/>
  <c r="L39" i="6"/>
  <c r="L8" i="6"/>
  <c r="L55" i="6"/>
  <c r="L53" i="6" s="1"/>
  <c r="L50" i="4"/>
  <c r="L31" i="4"/>
  <c r="L14" i="4"/>
  <c r="L58" i="4"/>
  <c r="L57" i="4"/>
  <c r="L56" i="4"/>
  <c r="L54" i="4"/>
  <c r="L52" i="4"/>
  <c r="L51" i="4"/>
  <c r="L41" i="4"/>
  <c r="L45" i="4" s="1"/>
  <c r="L46" i="4" s="1"/>
  <c r="L40" i="4"/>
  <c r="L29" i="4"/>
  <c r="L30" i="4" s="1"/>
  <c r="L27" i="4"/>
  <c r="L3" i="4"/>
  <c r="L2" i="4"/>
  <c r="L42" i="1"/>
  <c r="L35" i="1"/>
  <c r="L29" i="1" s="1"/>
  <c r="L32" i="1"/>
  <c r="L25" i="1"/>
  <c r="L27" i="1" s="1"/>
  <c r="L50" i="1"/>
  <c r="L31" i="1"/>
  <c r="L14" i="1"/>
  <c r="L58" i="1"/>
  <c r="L56" i="1"/>
  <c r="L54" i="1"/>
  <c r="L52" i="1"/>
  <c r="L41" i="1"/>
  <c r="L40" i="1"/>
  <c r="L8" i="1"/>
  <c r="L3" i="1"/>
  <c r="L2" i="1"/>
  <c r="K2" i="2" s="1"/>
  <c r="G42" i="20"/>
  <c r="F42" i="20"/>
  <c r="G35" i="20"/>
  <c r="F35" i="20"/>
  <c r="G25" i="20"/>
  <c r="F25" i="20"/>
  <c r="E42" i="20"/>
  <c r="D42" i="20"/>
  <c r="E35" i="20"/>
  <c r="D35" i="20"/>
  <c r="E25" i="20"/>
  <c r="D25" i="20"/>
  <c r="C42" i="20"/>
  <c r="B42" i="20"/>
  <c r="C35" i="20"/>
  <c r="B35" i="20"/>
  <c r="C25" i="20"/>
  <c r="B25" i="20"/>
  <c r="B17" i="20"/>
  <c r="C17" i="20"/>
  <c r="D17" i="20"/>
  <c r="E17" i="20"/>
  <c r="F17" i="20"/>
  <c r="G17" i="20"/>
  <c r="H25" i="20"/>
  <c r="H17" i="20"/>
  <c r="H42" i="20"/>
  <c r="H35" i="20"/>
  <c r="I17" i="20"/>
  <c r="I42" i="20"/>
  <c r="I35" i="20"/>
  <c r="I25" i="20"/>
  <c r="J17" i="20"/>
  <c r="J42" i="20"/>
  <c r="J35" i="20"/>
  <c r="J25" i="20"/>
  <c r="L11" i="11" l="1"/>
  <c r="K32" i="2"/>
  <c r="L2" i="11"/>
  <c r="K30" i="2"/>
  <c r="M9" i="4"/>
  <c r="M7" i="4"/>
  <c r="M10" i="6"/>
  <c r="M12" i="11"/>
  <c r="L61" i="1"/>
  <c r="M12" i="1"/>
  <c r="L14" i="2" s="1"/>
  <c r="M5" i="1"/>
  <c r="M11" i="1"/>
  <c r="L13" i="2" s="1"/>
  <c r="M4" i="1"/>
  <c r="M10" i="11"/>
  <c r="L11" i="2"/>
  <c r="L7" i="2"/>
  <c r="M13" i="11"/>
  <c r="M10" i="9"/>
  <c r="M18" i="11"/>
  <c r="L61" i="4"/>
  <c r="M11" i="4"/>
  <c r="L15" i="2" s="1"/>
  <c r="M5" i="4"/>
  <c r="M4" i="4"/>
  <c r="M12" i="4"/>
  <c r="L16" i="2" s="1"/>
  <c r="L47" i="6"/>
  <c r="L48" i="6" s="1"/>
  <c r="M6" i="9"/>
  <c r="M19" i="11"/>
  <c r="L9" i="2"/>
  <c r="M9" i="10"/>
  <c r="M6" i="10"/>
  <c r="M6" i="6"/>
  <c r="L30" i="1"/>
  <c r="L57" i="1"/>
  <c r="L59" i="1" s="1"/>
  <c r="L51" i="1"/>
  <c r="L45" i="1"/>
  <c r="L46" i="1" s="1"/>
  <c r="K24" i="2"/>
  <c r="K4" i="2"/>
  <c r="K25" i="2"/>
  <c r="L47" i="10"/>
  <c r="L48" i="10" s="1"/>
  <c r="L48" i="9"/>
  <c r="L39" i="4"/>
  <c r="L47" i="4" s="1"/>
  <c r="L59" i="4"/>
  <c r="L8" i="4"/>
  <c r="L55" i="4"/>
  <c r="L53" i="4" s="1"/>
  <c r="L55" i="1"/>
  <c r="L39" i="1"/>
  <c r="K17" i="20"/>
  <c r="L17" i="20"/>
  <c r="L8" i="20" s="1"/>
  <c r="L42" i="20"/>
  <c r="K42" i="20"/>
  <c r="L35" i="20"/>
  <c r="L51" i="20" s="1"/>
  <c r="K35" i="20"/>
  <c r="L25" i="20"/>
  <c r="L27" i="20" s="1"/>
  <c r="K25" i="20"/>
  <c r="K50" i="20"/>
  <c r="K31" i="20"/>
  <c r="K14" i="20"/>
  <c r="L14" i="20"/>
  <c r="L50" i="20"/>
  <c r="L31" i="20"/>
  <c r="L58" i="20"/>
  <c r="L56" i="20"/>
  <c r="L54" i="20"/>
  <c r="L52" i="20"/>
  <c r="L41" i="20"/>
  <c r="L40" i="20"/>
  <c r="L3" i="20"/>
  <c r="L2" i="20"/>
  <c r="K36" i="2" l="1"/>
  <c r="K40" i="2"/>
  <c r="L39" i="20"/>
  <c r="L47" i="20" s="1"/>
  <c r="K41" i="2"/>
  <c r="L5" i="11"/>
  <c r="L57" i="20"/>
  <c r="L59" i="20" s="1"/>
  <c r="L14" i="11"/>
  <c r="K31" i="2"/>
  <c r="M10" i="10"/>
  <c r="M9" i="11"/>
  <c r="M16" i="11"/>
  <c r="L5" i="2"/>
  <c r="M7" i="1"/>
  <c r="M9" i="1"/>
  <c r="M6" i="1"/>
  <c r="M15" i="11"/>
  <c r="M10" i="4"/>
  <c r="L29" i="20"/>
  <c r="L30" i="20" s="1"/>
  <c r="L47" i="1"/>
  <c r="L61" i="20"/>
  <c r="M12" i="20"/>
  <c r="L39" i="2" s="1"/>
  <c r="M4" i="20"/>
  <c r="M5" i="20"/>
  <c r="M11" i="20"/>
  <c r="L38" i="2" s="1"/>
  <c r="M6" i="4"/>
  <c r="L53" i="1"/>
  <c r="L45" i="20"/>
  <c r="L46" i="20" s="1"/>
  <c r="L48" i="4"/>
  <c r="L48" i="1"/>
  <c r="L55" i="20"/>
  <c r="L53" i="20" s="1"/>
  <c r="K58" i="20"/>
  <c r="J58" i="20"/>
  <c r="I58" i="20"/>
  <c r="H58" i="20"/>
  <c r="G58" i="20"/>
  <c r="F58" i="20"/>
  <c r="E58" i="20"/>
  <c r="D58" i="20"/>
  <c r="C58" i="20"/>
  <c r="B58" i="20"/>
  <c r="K57" i="20"/>
  <c r="J57" i="20"/>
  <c r="I57" i="20"/>
  <c r="H57" i="20"/>
  <c r="G57" i="20"/>
  <c r="C57" i="20"/>
  <c r="B57" i="20"/>
  <c r="K56" i="20"/>
  <c r="J56" i="20"/>
  <c r="I56" i="20"/>
  <c r="H56" i="20"/>
  <c r="G56" i="20"/>
  <c r="F56" i="20"/>
  <c r="E56" i="20"/>
  <c r="D56" i="20"/>
  <c r="C56" i="20"/>
  <c r="B56" i="20"/>
  <c r="B59" i="20" s="1"/>
  <c r="K54" i="20"/>
  <c r="J54" i="20"/>
  <c r="I54" i="20"/>
  <c r="H54" i="20"/>
  <c r="G54" i="20"/>
  <c r="F54" i="20"/>
  <c r="E54" i="20"/>
  <c r="D54" i="20"/>
  <c r="C54" i="20"/>
  <c r="B54" i="20"/>
  <c r="K52" i="20"/>
  <c r="J52" i="20"/>
  <c r="I52" i="20"/>
  <c r="H52" i="20"/>
  <c r="G52" i="20"/>
  <c r="F52" i="20"/>
  <c r="E52" i="20"/>
  <c r="D52" i="20"/>
  <c r="C52" i="20"/>
  <c r="B52" i="20"/>
  <c r="J51" i="20"/>
  <c r="H51" i="20"/>
  <c r="G51" i="20"/>
  <c r="F51" i="20"/>
  <c r="E51" i="20"/>
  <c r="D51" i="20"/>
  <c r="C51" i="20"/>
  <c r="B51" i="20"/>
  <c r="J50" i="20"/>
  <c r="I50" i="20"/>
  <c r="H50" i="20"/>
  <c r="G50" i="20"/>
  <c r="F50" i="20"/>
  <c r="E50" i="20"/>
  <c r="D50" i="20"/>
  <c r="C50" i="20"/>
  <c r="B50" i="20"/>
  <c r="K41" i="20"/>
  <c r="K45" i="20" s="1"/>
  <c r="K46" i="20" s="1"/>
  <c r="J41" i="20"/>
  <c r="J45" i="20" s="1"/>
  <c r="I41" i="20"/>
  <c r="H41" i="20"/>
  <c r="H45" i="20" s="1"/>
  <c r="G41" i="20"/>
  <c r="F41" i="20"/>
  <c r="E41" i="20"/>
  <c r="D41" i="20"/>
  <c r="D45" i="20" s="1"/>
  <c r="C41" i="20"/>
  <c r="C45" i="20" s="1"/>
  <c r="B41" i="20"/>
  <c r="B45" i="20" s="1"/>
  <c r="K40" i="20"/>
  <c r="J40" i="20"/>
  <c r="I40" i="20"/>
  <c r="H40" i="20"/>
  <c r="G40" i="20"/>
  <c r="F40" i="20"/>
  <c r="E40" i="20"/>
  <c r="D40" i="20"/>
  <c r="C40" i="20"/>
  <c r="B40" i="20"/>
  <c r="K51" i="20"/>
  <c r="I51" i="20"/>
  <c r="K29" i="20"/>
  <c r="K30" i="20" s="1"/>
  <c r="L9" i="20" s="1"/>
  <c r="J29" i="20"/>
  <c r="J30" i="20" s="1"/>
  <c r="I29" i="20"/>
  <c r="I30" i="20" s="1"/>
  <c r="H29" i="20"/>
  <c r="H30" i="20" s="1"/>
  <c r="G29" i="20"/>
  <c r="G30" i="20" s="1"/>
  <c r="F29" i="20"/>
  <c r="F30" i="20" s="1"/>
  <c r="E29" i="20"/>
  <c r="E30" i="20" s="1"/>
  <c r="D29" i="20"/>
  <c r="D30" i="20" s="1"/>
  <c r="C29" i="20"/>
  <c r="C30" i="20" s="1"/>
  <c r="B29" i="20"/>
  <c r="B30" i="20" s="1"/>
  <c r="J27" i="20"/>
  <c r="J61" i="20" s="1"/>
  <c r="I27" i="20"/>
  <c r="H27" i="20"/>
  <c r="G27" i="20"/>
  <c r="F27" i="20"/>
  <c r="C27" i="20"/>
  <c r="C61" i="20" s="1"/>
  <c r="K27" i="20"/>
  <c r="L11" i="20" s="1"/>
  <c r="K38" i="2" s="1"/>
  <c r="F57" i="20"/>
  <c r="E27" i="20"/>
  <c r="D27" i="20"/>
  <c r="B27" i="20"/>
  <c r="K8" i="20"/>
  <c r="J8" i="20"/>
  <c r="I8" i="20"/>
  <c r="H8" i="20"/>
  <c r="G8" i="20"/>
  <c r="F8" i="20"/>
  <c r="E8" i="20"/>
  <c r="D8" i="20"/>
  <c r="C8" i="20"/>
  <c r="K3" i="20"/>
  <c r="J3" i="20"/>
  <c r="I3" i="20"/>
  <c r="H3" i="20"/>
  <c r="G3" i="20"/>
  <c r="F3" i="20"/>
  <c r="E3" i="20"/>
  <c r="D3" i="20"/>
  <c r="C3" i="20"/>
  <c r="K2" i="20"/>
  <c r="J2" i="20"/>
  <c r="I2" i="20"/>
  <c r="H2" i="20"/>
  <c r="G2" i="20"/>
  <c r="F2" i="20"/>
  <c r="E2" i="20"/>
  <c r="D2" i="20"/>
  <c r="C2" i="20"/>
  <c r="G36" i="2" l="1"/>
  <c r="F40" i="2"/>
  <c r="E41" i="2"/>
  <c r="F5" i="11"/>
  <c r="C41" i="2"/>
  <c r="D5" i="11"/>
  <c r="D41" i="2"/>
  <c r="E5" i="11"/>
  <c r="D40" i="2"/>
  <c r="F36" i="2"/>
  <c r="G40" i="2"/>
  <c r="I36" i="2"/>
  <c r="B36" i="2"/>
  <c r="L10" i="20"/>
  <c r="L6" i="11"/>
  <c r="E36" i="2"/>
  <c r="H36" i="2"/>
  <c r="G41" i="2"/>
  <c r="H5" i="11"/>
  <c r="J36" i="2"/>
  <c r="I40" i="2"/>
  <c r="H41" i="2"/>
  <c r="I5" i="11"/>
  <c r="C36" i="2"/>
  <c r="B40" i="2"/>
  <c r="J40" i="2"/>
  <c r="I41" i="2"/>
  <c r="J5" i="11"/>
  <c r="E40" i="2"/>
  <c r="F41" i="2"/>
  <c r="G5" i="11"/>
  <c r="H40" i="2"/>
  <c r="D36" i="2"/>
  <c r="C40" i="2"/>
  <c r="B41" i="2"/>
  <c r="C5" i="11"/>
  <c r="J41" i="2"/>
  <c r="K5" i="11"/>
  <c r="M3" i="11"/>
  <c r="M10" i="1"/>
  <c r="M4" i="11"/>
  <c r="L3" i="2"/>
  <c r="M6" i="20"/>
  <c r="M9" i="20"/>
  <c r="M7" i="20"/>
  <c r="K59" i="20"/>
  <c r="G39" i="20"/>
  <c r="G5" i="20"/>
  <c r="G59" i="20"/>
  <c r="H39" i="20"/>
  <c r="H47" i="20" s="1"/>
  <c r="H5" i="20"/>
  <c r="F55" i="20"/>
  <c r="J11" i="20"/>
  <c r="I38" i="2" s="1"/>
  <c r="K9" i="20"/>
  <c r="L7" i="20"/>
  <c r="L12" i="20"/>
  <c r="K39" i="2" s="1"/>
  <c r="L5" i="20"/>
  <c r="L4" i="20"/>
  <c r="L48" i="20"/>
  <c r="F53" i="20"/>
  <c r="I39" i="20"/>
  <c r="D39" i="20"/>
  <c r="D47" i="20" s="1"/>
  <c r="E39" i="20"/>
  <c r="F39" i="20"/>
  <c r="F59" i="20"/>
  <c r="I5" i="20"/>
  <c r="J5" i="20"/>
  <c r="J4" i="20"/>
  <c r="H59" i="20"/>
  <c r="J59" i="20"/>
  <c r="I59" i="20"/>
  <c r="C9" i="20"/>
  <c r="J12" i="20"/>
  <c r="I39" i="2" s="1"/>
  <c r="I12" i="20"/>
  <c r="H39" i="2" s="1"/>
  <c r="J9" i="20"/>
  <c r="C59" i="20"/>
  <c r="B39" i="20"/>
  <c r="B47" i="20" s="1"/>
  <c r="C39" i="20"/>
  <c r="C47" i="20" s="1"/>
  <c r="J39" i="20"/>
  <c r="J47" i="20" s="1"/>
  <c r="E7" i="20"/>
  <c r="E9" i="20"/>
  <c r="C12" i="20"/>
  <c r="B39" i="2" s="1"/>
  <c r="B61" i="20"/>
  <c r="C5" i="20"/>
  <c r="C11" i="20"/>
  <c r="B38" i="2" s="1"/>
  <c r="B55" i="20"/>
  <c r="B53" i="20" s="1"/>
  <c r="C4" i="20"/>
  <c r="D55" i="20"/>
  <c r="D53" i="20" s="1"/>
  <c r="E11" i="20"/>
  <c r="D38" i="2" s="1"/>
  <c r="D4" i="20"/>
  <c r="D61" i="20"/>
  <c r="D5" i="20"/>
  <c r="E5" i="20"/>
  <c r="E4" i="20"/>
  <c r="E12" i="20"/>
  <c r="D39" i="2" s="1"/>
  <c r="D11" i="20"/>
  <c r="C38" i="2" s="1"/>
  <c r="D12" i="20"/>
  <c r="C39" i="2" s="1"/>
  <c r="F7" i="20"/>
  <c r="F9" i="20"/>
  <c r="E55" i="20"/>
  <c r="E53" i="20" s="1"/>
  <c r="F5" i="20"/>
  <c r="F12" i="20"/>
  <c r="E39" i="2" s="1"/>
  <c r="F4" i="20"/>
  <c r="F11" i="20"/>
  <c r="E38" i="2" s="1"/>
  <c r="E61" i="20"/>
  <c r="G9" i="20"/>
  <c r="G7" i="20"/>
  <c r="J46" i="20"/>
  <c r="I9" i="20"/>
  <c r="H9" i="20"/>
  <c r="I7" i="20"/>
  <c r="H7" i="20"/>
  <c r="B46" i="20"/>
  <c r="C46" i="20"/>
  <c r="K61" i="20"/>
  <c r="K12" i="20"/>
  <c r="J39" i="2" s="1"/>
  <c r="K4" i="20"/>
  <c r="K11" i="20"/>
  <c r="J38" i="2" s="1"/>
  <c r="K55" i="20"/>
  <c r="K53" i="20" s="1"/>
  <c r="K5" i="20"/>
  <c r="D9" i="20"/>
  <c r="D7" i="20"/>
  <c r="H55" i="20"/>
  <c r="H53" i="20" s="1"/>
  <c r="D57" i="20"/>
  <c r="D59" i="20" s="1"/>
  <c r="F61" i="20"/>
  <c r="J7" i="20"/>
  <c r="K39" i="20"/>
  <c r="K47" i="20" s="1"/>
  <c r="G45" i="20"/>
  <c r="G46" i="20" s="1"/>
  <c r="I55" i="20"/>
  <c r="I53" i="20" s="1"/>
  <c r="E57" i="20"/>
  <c r="E59" i="20" s="1"/>
  <c r="G61" i="20"/>
  <c r="E45" i="20"/>
  <c r="D46" i="20"/>
  <c r="G11" i="20"/>
  <c r="F38" i="2" s="1"/>
  <c r="J55" i="20"/>
  <c r="J53" i="20" s="1"/>
  <c r="H61" i="20"/>
  <c r="F45" i="20"/>
  <c r="F46" i="20" s="1"/>
  <c r="C7" i="20"/>
  <c r="K7" i="20"/>
  <c r="G4" i="20"/>
  <c r="H11" i="20"/>
  <c r="G38" i="2" s="1"/>
  <c r="G12" i="20"/>
  <c r="F39" i="2" s="1"/>
  <c r="I45" i="20"/>
  <c r="C55" i="20"/>
  <c r="C53" i="20" s="1"/>
  <c r="I61" i="20"/>
  <c r="G55" i="20"/>
  <c r="G53" i="20" s="1"/>
  <c r="H4" i="20"/>
  <c r="I11" i="20"/>
  <c r="H38" i="2" s="1"/>
  <c r="H12" i="20"/>
  <c r="G39" i="2" s="1"/>
  <c r="I4" i="20"/>
  <c r="K17" i="10"/>
  <c r="K58" i="10"/>
  <c r="K57" i="10"/>
  <c r="K56" i="10"/>
  <c r="K54" i="10"/>
  <c r="K52" i="10"/>
  <c r="K51" i="10"/>
  <c r="K50" i="10"/>
  <c r="K41" i="10"/>
  <c r="K40" i="10"/>
  <c r="K29" i="10"/>
  <c r="K30" i="10" s="1"/>
  <c r="K27" i="10"/>
  <c r="K3" i="10"/>
  <c r="K2" i="10"/>
  <c r="J10" i="2" s="1"/>
  <c r="K29" i="6"/>
  <c r="K30" i="6" s="1"/>
  <c r="K17" i="6"/>
  <c r="K16" i="6" s="1"/>
  <c r="K58" i="6"/>
  <c r="K57" i="6"/>
  <c r="K56" i="6"/>
  <c r="K54" i="6"/>
  <c r="K52" i="6"/>
  <c r="K51" i="6"/>
  <c r="K50" i="6"/>
  <c r="K41" i="6"/>
  <c r="K45" i="6" s="1"/>
  <c r="K46" i="6" s="1"/>
  <c r="K40" i="6"/>
  <c r="K27" i="6"/>
  <c r="K3" i="6"/>
  <c r="K2" i="6"/>
  <c r="J6" i="2" s="1"/>
  <c r="J32" i="4"/>
  <c r="K32" i="4"/>
  <c r="K51" i="4" s="1"/>
  <c r="K58" i="4"/>
  <c r="K57" i="4"/>
  <c r="K56" i="4"/>
  <c r="K54" i="4"/>
  <c r="K52" i="4"/>
  <c r="K50" i="4"/>
  <c r="K41" i="4"/>
  <c r="K45" i="4" s="1"/>
  <c r="K46" i="4" s="1"/>
  <c r="K40" i="4"/>
  <c r="K29" i="4"/>
  <c r="K30" i="4" s="1"/>
  <c r="K27" i="4"/>
  <c r="K17" i="4"/>
  <c r="K3" i="4"/>
  <c r="J25" i="2" s="1"/>
  <c r="K2" i="4"/>
  <c r="J4" i="2" s="1"/>
  <c r="I37" i="2" l="1"/>
  <c r="J7" i="11"/>
  <c r="I10" i="20"/>
  <c r="I6" i="11"/>
  <c r="G6" i="20"/>
  <c r="J37" i="2"/>
  <c r="K7" i="11"/>
  <c r="F37" i="2"/>
  <c r="G7" i="11"/>
  <c r="F10" i="20"/>
  <c r="F6" i="11"/>
  <c r="J10" i="20"/>
  <c r="J6" i="11"/>
  <c r="H10" i="20"/>
  <c r="H6" i="11"/>
  <c r="B37" i="2"/>
  <c r="C7" i="11"/>
  <c r="C37" i="2"/>
  <c r="D7" i="11"/>
  <c r="G10" i="20"/>
  <c r="G6" i="11"/>
  <c r="E37" i="2"/>
  <c r="F7" i="11"/>
  <c r="D10" i="20"/>
  <c r="D6" i="11"/>
  <c r="E10" i="20"/>
  <c r="E6" i="11"/>
  <c r="K10" i="20"/>
  <c r="K6" i="11"/>
  <c r="G37" i="2"/>
  <c r="H7" i="11"/>
  <c r="D37" i="2"/>
  <c r="E7" i="11"/>
  <c r="C10" i="20"/>
  <c r="C6" i="11"/>
  <c r="H37" i="2"/>
  <c r="I7" i="11"/>
  <c r="K37" i="2"/>
  <c r="L7" i="11"/>
  <c r="L37" i="2"/>
  <c r="M7" i="11"/>
  <c r="M10" i="20"/>
  <c r="M6" i="11"/>
  <c r="K59" i="10"/>
  <c r="K61" i="10"/>
  <c r="L4" i="10"/>
  <c r="L12" i="10"/>
  <c r="K22" i="2" s="1"/>
  <c r="L5" i="10"/>
  <c r="L11" i="10"/>
  <c r="K21" i="2" s="1"/>
  <c r="J28" i="2"/>
  <c r="K61" i="4"/>
  <c r="L5" i="4"/>
  <c r="L11" i="4"/>
  <c r="K15" i="2" s="1"/>
  <c r="L12" i="4"/>
  <c r="K16" i="2" s="1"/>
  <c r="L4" i="4"/>
  <c r="L6" i="20"/>
  <c r="J26" i="2"/>
  <c r="K8" i="10"/>
  <c r="K16" i="10"/>
  <c r="L9" i="10"/>
  <c r="L7" i="10"/>
  <c r="K61" i="6"/>
  <c r="L5" i="6"/>
  <c r="L4" i="6"/>
  <c r="L11" i="6"/>
  <c r="K17" i="2" s="1"/>
  <c r="L12" i="6"/>
  <c r="K18" i="2" s="1"/>
  <c r="L9" i="6"/>
  <c r="L7" i="6"/>
  <c r="L9" i="4"/>
  <c r="L7" i="4"/>
  <c r="H6" i="20"/>
  <c r="E47" i="20"/>
  <c r="E48" i="20" s="1"/>
  <c r="F6" i="20"/>
  <c r="I47" i="20"/>
  <c r="I6" i="20"/>
  <c r="G47" i="20"/>
  <c r="E6" i="20"/>
  <c r="D6" i="20"/>
  <c r="J6" i="20"/>
  <c r="K6" i="20"/>
  <c r="D48" i="20"/>
  <c r="C6" i="20"/>
  <c r="E46" i="20"/>
  <c r="H48" i="20"/>
  <c r="K48" i="20"/>
  <c r="C48" i="20"/>
  <c r="F47" i="20"/>
  <c r="J48" i="20"/>
  <c r="H46" i="20"/>
  <c r="I46" i="20"/>
  <c r="B48" i="20"/>
  <c r="K39" i="10"/>
  <c r="K45" i="10"/>
  <c r="K55" i="10"/>
  <c r="K53" i="10" s="1"/>
  <c r="K59" i="6"/>
  <c r="K39" i="6"/>
  <c r="K47" i="6" s="1"/>
  <c r="K8" i="6"/>
  <c r="K55" i="6"/>
  <c r="K53" i="6" s="1"/>
  <c r="K39" i="4"/>
  <c r="K47" i="4" s="1"/>
  <c r="K59" i="4"/>
  <c r="K8" i="4"/>
  <c r="K55" i="4"/>
  <c r="K53" i="4" s="1"/>
  <c r="K16" i="9"/>
  <c r="K42" i="9"/>
  <c r="K35" i="9"/>
  <c r="K29" i="9" s="1"/>
  <c r="K32" i="9"/>
  <c r="K25" i="9"/>
  <c r="K57" i="9" s="1"/>
  <c r="K58" i="9"/>
  <c r="K56" i="9"/>
  <c r="K54" i="9"/>
  <c r="K52" i="9"/>
  <c r="K50" i="9"/>
  <c r="K41" i="9"/>
  <c r="K40" i="9"/>
  <c r="K17" i="9"/>
  <c r="K8" i="9" s="1"/>
  <c r="K3" i="9"/>
  <c r="J27" i="2" s="1"/>
  <c r="K2" i="9"/>
  <c r="K42" i="1"/>
  <c r="K25" i="1"/>
  <c r="K57" i="1" s="1"/>
  <c r="K35" i="1"/>
  <c r="K29" i="1" s="1"/>
  <c r="K32" i="1"/>
  <c r="K58" i="1"/>
  <c r="K56" i="1"/>
  <c r="K54" i="1"/>
  <c r="K52" i="1"/>
  <c r="K50" i="1"/>
  <c r="K41" i="1"/>
  <c r="K40" i="1"/>
  <c r="K17" i="1"/>
  <c r="K8" i="1" s="1"/>
  <c r="K3" i="1"/>
  <c r="K2" i="1"/>
  <c r="K8" i="11" l="1"/>
  <c r="J34" i="2"/>
  <c r="K17" i="11"/>
  <c r="J33" i="2"/>
  <c r="K11" i="11"/>
  <c r="J32" i="2"/>
  <c r="K14" i="11"/>
  <c r="J31" i="2"/>
  <c r="K2" i="11"/>
  <c r="J30" i="2"/>
  <c r="J2" i="2"/>
  <c r="J24" i="2"/>
  <c r="K27" i="1"/>
  <c r="L11" i="1" s="1"/>
  <c r="K13" i="2" s="1"/>
  <c r="J8" i="2"/>
  <c r="L6" i="6"/>
  <c r="K51" i="1"/>
  <c r="L6" i="4"/>
  <c r="K5" i="2"/>
  <c r="L16" i="11"/>
  <c r="L10" i="4"/>
  <c r="L15" i="11"/>
  <c r="L10" i="11"/>
  <c r="K11" i="2"/>
  <c r="K51" i="9"/>
  <c r="L13" i="11"/>
  <c r="K7" i="2"/>
  <c r="L10" i="10"/>
  <c r="L9" i="11"/>
  <c r="L6" i="10"/>
  <c r="L12" i="1"/>
  <c r="K14" i="2" s="1"/>
  <c r="L10" i="6"/>
  <c r="L12" i="11"/>
  <c r="G48" i="20"/>
  <c r="I48" i="20"/>
  <c r="F48" i="20"/>
  <c r="K47" i="10"/>
  <c r="K48" i="10" s="1"/>
  <c r="K46" i="10"/>
  <c r="K48" i="6"/>
  <c r="K48" i="4"/>
  <c r="K27" i="9"/>
  <c r="K30" i="9"/>
  <c r="K45" i="9"/>
  <c r="K46" i="9" s="1"/>
  <c r="K59" i="9"/>
  <c r="K39" i="9"/>
  <c r="K30" i="1"/>
  <c r="K45" i="1"/>
  <c r="K46" i="1" s="1"/>
  <c r="K59" i="1"/>
  <c r="K55" i="1"/>
  <c r="K39" i="1"/>
  <c r="J58" i="10"/>
  <c r="J57" i="10"/>
  <c r="J56" i="10"/>
  <c r="J54" i="10"/>
  <c r="J52" i="10"/>
  <c r="J51" i="10"/>
  <c r="J50" i="10"/>
  <c r="J41" i="10"/>
  <c r="J45" i="10" s="1"/>
  <c r="J46" i="10" s="1"/>
  <c r="J40" i="10"/>
  <c r="J29" i="10"/>
  <c r="J30" i="10" s="1"/>
  <c r="J27" i="10"/>
  <c r="J17" i="10"/>
  <c r="J16" i="10" s="1"/>
  <c r="J3" i="10"/>
  <c r="I28" i="2" s="1"/>
  <c r="J2" i="10"/>
  <c r="J58" i="9"/>
  <c r="J57" i="9"/>
  <c r="J56" i="9"/>
  <c r="J54" i="9"/>
  <c r="J52" i="9"/>
  <c r="J50" i="9"/>
  <c r="J41" i="9"/>
  <c r="J45" i="9" s="1"/>
  <c r="J40" i="9"/>
  <c r="J35" i="9"/>
  <c r="J32" i="9"/>
  <c r="J51" i="9" s="1"/>
  <c r="J27" i="9"/>
  <c r="J61" i="9" s="1"/>
  <c r="J17" i="9"/>
  <c r="J8" i="9" s="1"/>
  <c r="J3" i="9"/>
  <c r="I27" i="2" s="1"/>
  <c r="J2" i="9"/>
  <c r="J58" i="1"/>
  <c r="J57" i="1"/>
  <c r="J56" i="1"/>
  <c r="J54" i="1"/>
  <c r="J52" i="1"/>
  <c r="J50" i="1"/>
  <c r="J41" i="1"/>
  <c r="J40" i="1"/>
  <c r="J32" i="1"/>
  <c r="J51" i="1" s="1"/>
  <c r="J29" i="1"/>
  <c r="J30" i="1" s="1"/>
  <c r="J27" i="1"/>
  <c r="J61" i="1" s="1"/>
  <c r="J17" i="1"/>
  <c r="J8" i="1" s="1"/>
  <c r="J3" i="1"/>
  <c r="J2" i="1"/>
  <c r="J17" i="11" l="1"/>
  <c r="I33" i="2"/>
  <c r="J59" i="9"/>
  <c r="J2" i="11"/>
  <c r="I30" i="2"/>
  <c r="K61" i="1"/>
  <c r="K53" i="1"/>
  <c r="L4" i="1"/>
  <c r="J59" i="1"/>
  <c r="L5" i="1"/>
  <c r="I2" i="2"/>
  <c r="K5" i="1"/>
  <c r="K9" i="1"/>
  <c r="L7" i="1"/>
  <c r="L9" i="1"/>
  <c r="K12" i="9"/>
  <c r="J20" i="2" s="1"/>
  <c r="J39" i="1"/>
  <c r="I10" i="2"/>
  <c r="I24" i="2"/>
  <c r="J61" i="10"/>
  <c r="K12" i="10"/>
  <c r="J22" i="2" s="1"/>
  <c r="K11" i="10"/>
  <c r="J21" i="2" s="1"/>
  <c r="K4" i="10"/>
  <c r="K5" i="10"/>
  <c r="I8" i="2"/>
  <c r="K12" i="1"/>
  <c r="J14" i="2" s="1"/>
  <c r="J59" i="10"/>
  <c r="K4" i="1"/>
  <c r="L9" i="9"/>
  <c r="L7" i="9"/>
  <c r="J39" i="10"/>
  <c r="J47" i="10" s="1"/>
  <c r="J48" i="10" s="1"/>
  <c r="K11" i="1"/>
  <c r="J13" i="2" s="1"/>
  <c r="K61" i="9"/>
  <c r="L5" i="9"/>
  <c r="L12" i="9"/>
  <c r="K20" i="2" s="1"/>
  <c r="L11" i="9"/>
  <c r="K19" i="2" s="1"/>
  <c r="L4" i="9"/>
  <c r="K7" i="10"/>
  <c r="K9" i="10"/>
  <c r="K11" i="9"/>
  <c r="J19" i="2" s="1"/>
  <c r="K55" i="9"/>
  <c r="K53" i="9" s="1"/>
  <c r="K47" i="9"/>
  <c r="K5" i="9"/>
  <c r="K4" i="9"/>
  <c r="K7" i="1"/>
  <c r="K47" i="1"/>
  <c r="J55" i="10"/>
  <c r="J53" i="10" s="1"/>
  <c r="J8" i="10"/>
  <c r="I34" i="2" s="1"/>
  <c r="J29" i="9"/>
  <c r="J30" i="9" s="1"/>
  <c r="K9" i="9" s="1"/>
  <c r="J46" i="9"/>
  <c r="J55" i="9"/>
  <c r="J53" i="9" s="1"/>
  <c r="J39" i="9"/>
  <c r="J47" i="9" s="1"/>
  <c r="J45" i="1"/>
  <c r="J46" i="1" s="1"/>
  <c r="J55" i="1"/>
  <c r="J53" i="1" s="1"/>
  <c r="I19" i="6"/>
  <c r="I18" i="6" s="1"/>
  <c r="J19" i="6"/>
  <c r="J18" i="6" s="1"/>
  <c r="J17" i="6" s="1"/>
  <c r="J16" i="6" s="1"/>
  <c r="J29" i="6"/>
  <c r="J30" i="6" s="1"/>
  <c r="I29" i="6"/>
  <c r="J58" i="6"/>
  <c r="J57" i="6"/>
  <c r="J56" i="6"/>
  <c r="J54" i="6"/>
  <c r="J52" i="6"/>
  <c r="J51" i="6"/>
  <c r="J50" i="6"/>
  <c r="J41" i="6"/>
  <c r="J40" i="6"/>
  <c r="J27" i="6"/>
  <c r="J3" i="6"/>
  <c r="I26" i="2" s="1"/>
  <c r="J2" i="6"/>
  <c r="I6" i="2" s="1"/>
  <c r="J40" i="4"/>
  <c r="I40" i="4"/>
  <c r="B32" i="4"/>
  <c r="C32" i="4"/>
  <c r="D32" i="4"/>
  <c r="E32" i="4"/>
  <c r="F32" i="4"/>
  <c r="G32" i="4"/>
  <c r="H32" i="4"/>
  <c r="J51" i="4"/>
  <c r="I32" i="4"/>
  <c r="J29" i="4"/>
  <c r="J30" i="4" s="1"/>
  <c r="J58" i="4"/>
  <c r="J57" i="4"/>
  <c r="J56" i="4"/>
  <c r="J54" i="4"/>
  <c r="J52" i="4"/>
  <c r="J50" i="4"/>
  <c r="J41" i="4"/>
  <c r="J27" i="4"/>
  <c r="J17" i="4"/>
  <c r="J8" i="4" s="1"/>
  <c r="J3" i="4"/>
  <c r="J2" i="4"/>
  <c r="J14" i="11" l="1"/>
  <c r="I31" i="2"/>
  <c r="K6" i="1"/>
  <c r="L6" i="1"/>
  <c r="K7" i="9"/>
  <c r="K19" i="11" s="1"/>
  <c r="K10" i="9"/>
  <c r="K18" i="11"/>
  <c r="J47" i="1"/>
  <c r="J48" i="1" s="1"/>
  <c r="L10" i="1"/>
  <c r="L3" i="11"/>
  <c r="J9" i="2"/>
  <c r="L4" i="11"/>
  <c r="K3" i="2"/>
  <c r="L6" i="9"/>
  <c r="K7" i="4"/>
  <c r="K9" i="4"/>
  <c r="K10" i="1"/>
  <c r="K3" i="11"/>
  <c r="J61" i="4"/>
  <c r="K4" i="4"/>
  <c r="K12" i="4"/>
  <c r="J16" i="2" s="1"/>
  <c r="K5" i="4"/>
  <c r="K11" i="4"/>
  <c r="J15" i="2" s="1"/>
  <c r="K4" i="11"/>
  <c r="J3" i="2"/>
  <c r="L10" i="9"/>
  <c r="L18" i="11"/>
  <c r="K6" i="9"/>
  <c r="I25" i="2"/>
  <c r="J8" i="11"/>
  <c r="L19" i="11"/>
  <c r="K9" i="2"/>
  <c r="K6" i="10"/>
  <c r="K10" i="10"/>
  <c r="K9" i="11"/>
  <c r="K10" i="11"/>
  <c r="J11" i="2"/>
  <c r="K7" i="6"/>
  <c r="K9" i="6"/>
  <c r="J61" i="6"/>
  <c r="K5" i="6"/>
  <c r="K11" i="6"/>
  <c r="J17" i="2" s="1"/>
  <c r="K12" i="6"/>
  <c r="J18" i="2" s="1"/>
  <c r="K4" i="6"/>
  <c r="K48" i="9"/>
  <c r="K48" i="1"/>
  <c r="J48" i="9"/>
  <c r="I4" i="2"/>
  <c r="J59" i="6"/>
  <c r="J45" i="6"/>
  <c r="J46" i="6" s="1"/>
  <c r="J39" i="6"/>
  <c r="J8" i="6"/>
  <c r="J55" i="6"/>
  <c r="J53" i="6" s="1"/>
  <c r="J39" i="4"/>
  <c r="J59" i="4"/>
  <c r="J45" i="4"/>
  <c r="J46" i="4" s="1"/>
  <c r="J55" i="4"/>
  <c r="J53" i="4" s="1"/>
  <c r="C16" i="9"/>
  <c r="E16" i="9"/>
  <c r="D16" i="9"/>
  <c r="F16" i="9"/>
  <c r="J11" i="11" l="1"/>
  <c r="I32" i="2"/>
  <c r="K15" i="11"/>
  <c r="K10" i="4"/>
  <c r="J5" i="2"/>
  <c r="K16" i="11"/>
  <c r="K6" i="4"/>
  <c r="K6" i="6"/>
  <c r="K10" i="6"/>
  <c r="K12" i="11"/>
  <c r="J7" i="2"/>
  <c r="K13" i="11"/>
  <c r="J47" i="6"/>
  <c r="J47" i="4"/>
  <c r="I29" i="10"/>
  <c r="I30" i="10" s="1"/>
  <c r="H29" i="10"/>
  <c r="H30" i="10" s="1"/>
  <c r="G29" i="10"/>
  <c r="G30" i="10" s="1"/>
  <c r="F29" i="10"/>
  <c r="F30" i="10" s="1"/>
  <c r="E29" i="10"/>
  <c r="E30" i="10" s="1"/>
  <c r="D29" i="10"/>
  <c r="D30" i="10" s="1"/>
  <c r="C29" i="10"/>
  <c r="C30" i="10" s="1"/>
  <c r="B29" i="10"/>
  <c r="B30" i="10" s="1"/>
  <c r="G29" i="9"/>
  <c r="F29" i="9"/>
  <c r="E29" i="9"/>
  <c r="D29" i="9"/>
  <c r="C29" i="9"/>
  <c r="B29" i="9"/>
  <c r="I30" i="6"/>
  <c r="H29" i="6"/>
  <c r="H30" i="6" s="1"/>
  <c r="G29" i="6"/>
  <c r="G30" i="6" s="1"/>
  <c r="F29" i="6"/>
  <c r="F30" i="6" s="1"/>
  <c r="E29" i="6"/>
  <c r="E30" i="6" s="1"/>
  <c r="D29" i="6"/>
  <c r="D30" i="6" s="1"/>
  <c r="C29" i="6"/>
  <c r="C30" i="6" s="1"/>
  <c r="B29" i="6"/>
  <c r="B30" i="6" s="1"/>
  <c r="F29" i="4"/>
  <c r="F30" i="4" s="1"/>
  <c r="C29" i="4"/>
  <c r="C30" i="4" s="1"/>
  <c r="D29" i="4"/>
  <c r="D30" i="4" s="1"/>
  <c r="E29" i="4"/>
  <c r="E30" i="4" s="1"/>
  <c r="G29" i="4"/>
  <c r="G30" i="4" s="1"/>
  <c r="H29" i="4"/>
  <c r="H30" i="4" s="1"/>
  <c r="I29" i="4"/>
  <c r="I30" i="4" s="1"/>
  <c r="B29" i="4"/>
  <c r="B30" i="4" s="1"/>
  <c r="B29" i="1"/>
  <c r="C29" i="1"/>
  <c r="D29" i="1"/>
  <c r="E29" i="1"/>
  <c r="F29" i="1"/>
  <c r="G29" i="1"/>
  <c r="G30" i="1" s="1"/>
  <c r="H29" i="1"/>
  <c r="H30" i="1" s="1"/>
  <c r="I29" i="1"/>
  <c r="I30" i="1" s="1"/>
  <c r="J7" i="10" l="1"/>
  <c r="J9" i="10"/>
  <c r="J7" i="1"/>
  <c r="J9" i="1"/>
  <c r="J48" i="6"/>
  <c r="J7" i="6"/>
  <c r="J9" i="6"/>
  <c r="J9" i="4"/>
  <c r="J7" i="4"/>
  <c r="J48" i="4"/>
  <c r="G32" i="9"/>
  <c r="G17" i="9"/>
  <c r="G16" i="9" s="1"/>
  <c r="H17" i="9"/>
  <c r="H16" i="9" s="1"/>
  <c r="I32" i="9"/>
  <c r="H32" i="9"/>
  <c r="I35" i="9"/>
  <c r="I51" i="9" s="1"/>
  <c r="H35" i="9"/>
  <c r="G42" i="9"/>
  <c r="F42" i="9"/>
  <c r="E42" i="9"/>
  <c r="D42" i="9"/>
  <c r="C42" i="9"/>
  <c r="B42" i="9"/>
  <c r="G25" i="9"/>
  <c r="G27" i="9" s="1"/>
  <c r="F25" i="9"/>
  <c r="F57" i="9" s="1"/>
  <c r="E25" i="9"/>
  <c r="E30" i="9" s="1"/>
  <c r="D25" i="9"/>
  <c r="D30" i="9" s="1"/>
  <c r="C25" i="9"/>
  <c r="C27" i="9" s="1"/>
  <c r="B25" i="9"/>
  <c r="B57" i="9" s="1"/>
  <c r="I58" i="9"/>
  <c r="H58" i="9"/>
  <c r="G58" i="9"/>
  <c r="F58" i="9"/>
  <c r="E58" i="9"/>
  <c r="D58" i="9"/>
  <c r="C58" i="9"/>
  <c r="B58" i="9"/>
  <c r="I57" i="9"/>
  <c r="H57" i="9"/>
  <c r="I56" i="9"/>
  <c r="H56" i="9"/>
  <c r="G56" i="9"/>
  <c r="F56" i="9"/>
  <c r="E56" i="9"/>
  <c r="D56" i="9"/>
  <c r="C56" i="9"/>
  <c r="B56" i="9"/>
  <c r="I54" i="9"/>
  <c r="H54" i="9"/>
  <c r="G54" i="9"/>
  <c r="F54" i="9"/>
  <c r="E54" i="9"/>
  <c r="D54" i="9"/>
  <c r="C54" i="9"/>
  <c r="B54" i="9"/>
  <c r="I52" i="9"/>
  <c r="H52" i="9"/>
  <c r="G52" i="9"/>
  <c r="F52" i="9"/>
  <c r="E52" i="9"/>
  <c r="D52" i="9"/>
  <c r="C52" i="9"/>
  <c r="B52" i="9"/>
  <c r="F51" i="9"/>
  <c r="E51" i="9"/>
  <c r="D51" i="9"/>
  <c r="C51" i="9"/>
  <c r="B51" i="9"/>
  <c r="I50" i="9"/>
  <c r="H50" i="9"/>
  <c r="G50" i="9"/>
  <c r="F50" i="9"/>
  <c r="E50" i="9"/>
  <c r="D50" i="9"/>
  <c r="C50" i="9"/>
  <c r="B50" i="9"/>
  <c r="I41" i="9"/>
  <c r="H41" i="9"/>
  <c r="G41" i="9"/>
  <c r="F41" i="9"/>
  <c r="E41" i="9"/>
  <c r="D41" i="9"/>
  <c r="C41" i="9"/>
  <c r="B41" i="9"/>
  <c r="I40" i="9"/>
  <c r="H40" i="9"/>
  <c r="G40" i="9"/>
  <c r="F40" i="9"/>
  <c r="F39" i="9" s="1"/>
  <c r="E40" i="9"/>
  <c r="D40" i="9"/>
  <c r="C40" i="9"/>
  <c r="B40" i="9"/>
  <c r="I27" i="9"/>
  <c r="H27" i="9"/>
  <c r="E57" i="9"/>
  <c r="I17" i="9"/>
  <c r="I8" i="9" s="1"/>
  <c r="F8" i="9"/>
  <c r="E8" i="9"/>
  <c r="D8" i="9"/>
  <c r="C8" i="9"/>
  <c r="I3" i="9"/>
  <c r="H3" i="9"/>
  <c r="G3" i="9"/>
  <c r="F3" i="9"/>
  <c r="E27" i="2" s="1"/>
  <c r="E3" i="9"/>
  <c r="D27" i="2" s="1"/>
  <c r="D3" i="9"/>
  <c r="C27" i="2" s="1"/>
  <c r="C3" i="9"/>
  <c r="B27" i="2" s="1"/>
  <c r="I2" i="9"/>
  <c r="H2" i="9"/>
  <c r="G2" i="9"/>
  <c r="F2" i="9"/>
  <c r="E2" i="9"/>
  <c r="D2" i="9"/>
  <c r="C2" i="9"/>
  <c r="B8" i="2" s="1"/>
  <c r="I17" i="6"/>
  <c r="H17" i="6"/>
  <c r="H16" i="6" s="1"/>
  <c r="G42" i="6"/>
  <c r="F42" i="6"/>
  <c r="E42" i="6"/>
  <c r="D42" i="6"/>
  <c r="C42" i="6"/>
  <c r="B42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I59" i="6" s="1"/>
  <c r="H56" i="6"/>
  <c r="H59" i="6" s="1"/>
  <c r="G56" i="6"/>
  <c r="G59" i="6" s="1"/>
  <c r="F56" i="6"/>
  <c r="F59" i="6" s="1"/>
  <c r="E56" i="6"/>
  <c r="E59" i="6" s="1"/>
  <c r="D56" i="6"/>
  <c r="C56" i="6"/>
  <c r="B56" i="6"/>
  <c r="B59" i="6" s="1"/>
  <c r="I54" i="6"/>
  <c r="H54" i="6"/>
  <c r="G54" i="6"/>
  <c r="F54" i="6"/>
  <c r="E54" i="6"/>
  <c r="D54" i="6"/>
  <c r="C54" i="6"/>
  <c r="B54" i="6"/>
  <c r="I52" i="6"/>
  <c r="H52" i="6"/>
  <c r="G52" i="6"/>
  <c r="F52" i="6"/>
  <c r="E52" i="6"/>
  <c r="D52" i="6"/>
  <c r="C52" i="6"/>
  <c r="B52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1" i="6"/>
  <c r="H41" i="6"/>
  <c r="G41" i="6"/>
  <c r="F41" i="6"/>
  <c r="E41" i="6"/>
  <c r="D41" i="6"/>
  <c r="C41" i="6"/>
  <c r="B41" i="6"/>
  <c r="I40" i="6"/>
  <c r="I39" i="6" s="1"/>
  <c r="H40" i="6"/>
  <c r="G40" i="6"/>
  <c r="G39" i="6" s="1"/>
  <c r="F40" i="6"/>
  <c r="E40" i="6"/>
  <c r="D40" i="6"/>
  <c r="C40" i="6"/>
  <c r="C39" i="6" s="1"/>
  <c r="B40" i="6"/>
  <c r="H39" i="6"/>
  <c r="H9" i="6"/>
  <c r="H12" i="11" s="1"/>
  <c r="I27" i="6"/>
  <c r="H27" i="6"/>
  <c r="G27" i="6"/>
  <c r="F27" i="6"/>
  <c r="E27" i="6"/>
  <c r="D27" i="6"/>
  <c r="C27" i="6"/>
  <c r="B27" i="6"/>
  <c r="G17" i="6"/>
  <c r="G8" i="6" s="1"/>
  <c r="F17" i="6"/>
  <c r="F8" i="6" s="1"/>
  <c r="E17" i="6"/>
  <c r="D17" i="6"/>
  <c r="C17" i="6"/>
  <c r="C8" i="6" s="1"/>
  <c r="I3" i="6"/>
  <c r="H26" i="2" s="1"/>
  <c r="H3" i="6"/>
  <c r="G26" i="2" s="1"/>
  <c r="G3" i="6"/>
  <c r="F26" i="2" s="1"/>
  <c r="F3" i="6"/>
  <c r="E26" i="2" s="1"/>
  <c r="E3" i="6"/>
  <c r="D26" i="2" s="1"/>
  <c r="D3" i="6"/>
  <c r="C26" i="2" s="1"/>
  <c r="C3" i="6"/>
  <c r="B26" i="2" s="1"/>
  <c r="I2" i="6"/>
  <c r="H6" i="2" s="1"/>
  <c r="H2" i="6"/>
  <c r="G6" i="2" s="1"/>
  <c r="G2" i="6"/>
  <c r="F6" i="2" s="1"/>
  <c r="F2" i="6"/>
  <c r="E6" i="2" s="1"/>
  <c r="E2" i="6"/>
  <c r="D6" i="2" s="1"/>
  <c r="D2" i="6"/>
  <c r="C6" i="2" s="1"/>
  <c r="C2" i="6"/>
  <c r="I17" i="11" l="1"/>
  <c r="H33" i="2"/>
  <c r="C17" i="11"/>
  <c r="B33" i="2"/>
  <c r="D17" i="11"/>
  <c r="C33" i="2"/>
  <c r="E17" i="11"/>
  <c r="D33" i="2"/>
  <c r="F17" i="11"/>
  <c r="E33" i="2"/>
  <c r="F11" i="11"/>
  <c r="E32" i="2"/>
  <c r="G11" i="11"/>
  <c r="F32" i="2"/>
  <c r="C11" i="11"/>
  <c r="B32" i="2"/>
  <c r="C57" i="9"/>
  <c r="F4" i="6"/>
  <c r="D57" i="9"/>
  <c r="D59" i="9" s="1"/>
  <c r="G8" i="9"/>
  <c r="I11" i="9"/>
  <c r="H19" i="2" s="1"/>
  <c r="G57" i="9"/>
  <c r="G59" i="9" s="1"/>
  <c r="E8" i="2"/>
  <c r="B6" i="2"/>
  <c r="I61" i="9"/>
  <c r="J5" i="9"/>
  <c r="J4" i="9"/>
  <c r="J12" i="9"/>
  <c r="I20" i="2" s="1"/>
  <c r="J11" i="9"/>
  <c r="I19" i="2" s="1"/>
  <c r="H11" i="9"/>
  <c r="G19" i="2" s="1"/>
  <c r="J3" i="11"/>
  <c r="J10" i="1"/>
  <c r="B30" i="9"/>
  <c r="J4" i="11"/>
  <c r="I3" i="2"/>
  <c r="J9" i="11"/>
  <c r="J10" i="10"/>
  <c r="I16" i="6"/>
  <c r="I11" i="2"/>
  <c r="J10" i="11"/>
  <c r="J10" i="6"/>
  <c r="J12" i="11"/>
  <c r="J13" i="11"/>
  <c r="I7" i="2"/>
  <c r="J16" i="11"/>
  <c r="I5" i="2"/>
  <c r="J10" i="4"/>
  <c r="J15" i="11"/>
  <c r="I61" i="6"/>
  <c r="J11" i="6"/>
  <c r="I17" i="2" s="1"/>
  <c r="J4" i="6"/>
  <c r="J12" i="6"/>
  <c r="I18" i="2" s="1"/>
  <c r="J5" i="6"/>
  <c r="H45" i="9"/>
  <c r="H46" i="9" s="1"/>
  <c r="E45" i="6"/>
  <c r="E46" i="6" s="1"/>
  <c r="F30" i="9"/>
  <c r="F45" i="6"/>
  <c r="F46" i="6" s="1"/>
  <c r="B45" i="9"/>
  <c r="B46" i="9" s="1"/>
  <c r="D8" i="2"/>
  <c r="I16" i="9"/>
  <c r="H61" i="6"/>
  <c r="I11" i="6"/>
  <c r="H17" i="2" s="1"/>
  <c r="I45" i="9"/>
  <c r="I46" i="9" s="1"/>
  <c r="G45" i="6"/>
  <c r="G47" i="6" s="1"/>
  <c r="G48" i="6" s="1"/>
  <c r="F27" i="2"/>
  <c r="C45" i="9"/>
  <c r="C46" i="9" s="1"/>
  <c r="C8" i="2"/>
  <c r="H8" i="2"/>
  <c r="C30" i="9"/>
  <c r="B61" i="6"/>
  <c r="C11" i="6"/>
  <c r="B17" i="2" s="1"/>
  <c r="C61" i="6"/>
  <c r="D11" i="6"/>
  <c r="C17" i="2" s="1"/>
  <c r="D39" i="6"/>
  <c r="H45" i="6"/>
  <c r="H46" i="6" s="1"/>
  <c r="G27" i="2"/>
  <c r="H29" i="9"/>
  <c r="H30" i="9" s="1"/>
  <c r="I45" i="6"/>
  <c r="I47" i="6" s="1"/>
  <c r="H27" i="2"/>
  <c r="I29" i="9"/>
  <c r="I30" i="9" s="1"/>
  <c r="G61" i="6"/>
  <c r="H11" i="6"/>
  <c r="G17" i="2" s="1"/>
  <c r="D61" i="6"/>
  <c r="E11" i="6"/>
  <c r="D17" i="2" s="1"/>
  <c r="E61" i="6"/>
  <c r="F11" i="6"/>
  <c r="E17" i="2" s="1"/>
  <c r="B45" i="6"/>
  <c r="B46" i="6" s="1"/>
  <c r="F27" i="9"/>
  <c r="G5" i="9" s="1"/>
  <c r="F45" i="9"/>
  <c r="F47" i="9" s="1"/>
  <c r="H51" i="9"/>
  <c r="G30" i="9"/>
  <c r="G7" i="9" s="1"/>
  <c r="F61" i="6"/>
  <c r="G11" i="6"/>
  <c r="F17" i="2" s="1"/>
  <c r="C45" i="6"/>
  <c r="C46" i="6" s="1"/>
  <c r="G45" i="9"/>
  <c r="G46" i="9" s="1"/>
  <c r="C59" i="6"/>
  <c r="G8" i="2"/>
  <c r="F8" i="2"/>
  <c r="I59" i="9"/>
  <c r="I12" i="9"/>
  <c r="H20" i="2" s="1"/>
  <c r="B27" i="9"/>
  <c r="C11" i="9" s="1"/>
  <c r="B19" i="2" s="1"/>
  <c r="B59" i="9"/>
  <c r="F59" i="9"/>
  <c r="G39" i="9"/>
  <c r="C9" i="9"/>
  <c r="C18" i="11" s="1"/>
  <c r="B39" i="9"/>
  <c r="B47" i="9" s="1"/>
  <c r="E59" i="9"/>
  <c r="D45" i="9"/>
  <c r="D46" i="9" s="1"/>
  <c r="E39" i="9"/>
  <c r="C39" i="9"/>
  <c r="D39" i="9"/>
  <c r="I4" i="9"/>
  <c r="H12" i="9"/>
  <c r="G20" i="2" s="1"/>
  <c r="I39" i="9"/>
  <c r="H59" i="9"/>
  <c r="C59" i="9"/>
  <c r="D27" i="9"/>
  <c r="D11" i="9" s="1"/>
  <c r="C19" i="2" s="1"/>
  <c r="G51" i="9"/>
  <c r="C55" i="9"/>
  <c r="C53" i="9" s="1"/>
  <c r="G55" i="9"/>
  <c r="C61" i="9"/>
  <c r="G61" i="9"/>
  <c r="H5" i="9"/>
  <c r="H39" i="9"/>
  <c r="H47" i="9" s="1"/>
  <c r="H4" i="9"/>
  <c r="I5" i="9"/>
  <c r="H8" i="9"/>
  <c r="E27" i="9"/>
  <c r="H55" i="9"/>
  <c r="H61" i="9"/>
  <c r="E45" i="9"/>
  <c r="E46" i="9" s="1"/>
  <c r="I55" i="9"/>
  <c r="I53" i="9" s="1"/>
  <c r="D45" i="6"/>
  <c r="D46" i="6" s="1"/>
  <c r="E7" i="6"/>
  <c r="E39" i="6"/>
  <c r="B39" i="6"/>
  <c r="F39" i="6"/>
  <c r="B55" i="6"/>
  <c r="B53" i="6" s="1"/>
  <c r="D5" i="6"/>
  <c r="F55" i="6"/>
  <c r="F53" i="6" s="1"/>
  <c r="F7" i="6"/>
  <c r="E9" i="6"/>
  <c r="E12" i="11" s="1"/>
  <c r="I9" i="6"/>
  <c r="I12" i="11" s="1"/>
  <c r="D59" i="6"/>
  <c r="G4" i="6"/>
  <c r="G5" i="6"/>
  <c r="C4" i="6"/>
  <c r="H4" i="6"/>
  <c r="H5" i="6"/>
  <c r="I7" i="6"/>
  <c r="D9" i="6"/>
  <c r="D12" i="11" s="1"/>
  <c r="C12" i="6"/>
  <c r="B18" i="2" s="1"/>
  <c r="F9" i="6"/>
  <c r="C9" i="6"/>
  <c r="D4" i="6"/>
  <c r="C5" i="6"/>
  <c r="I5" i="6"/>
  <c r="G9" i="6"/>
  <c r="G12" i="6"/>
  <c r="F18" i="2" s="1"/>
  <c r="G7" i="6"/>
  <c r="C7" i="6"/>
  <c r="H8" i="6"/>
  <c r="G32" i="2" s="1"/>
  <c r="D12" i="6"/>
  <c r="C18" i="2" s="1"/>
  <c r="H12" i="6"/>
  <c r="G18" i="2" s="1"/>
  <c r="E5" i="6"/>
  <c r="D8" i="6"/>
  <c r="C55" i="6"/>
  <c r="C53" i="6" s="1"/>
  <c r="G55" i="6"/>
  <c r="G53" i="6" s="1"/>
  <c r="E4" i="6"/>
  <c r="I4" i="6"/>
  <c r="F5" i="6"/>
  <c r="D7" i="6"/>
  <c r="H7" i="6"/>
  <c r="E8" i="6"/>
  <c r="I8" i="6"/>
  <c r="E12" i="6"/>
  <c r="D18" i="2" s="1"/>
  <c r="I12" i="6"/>
  <c r="H18" i="2" s="1"/>
  <c r="D55" i="6"/>
  <c r="D53" i="6" s="1"/>
  <c r="H55" i="6"/>
  <c r="H53" i="6" s="1"/>
  <c r="F12" i="6"/>
  <c r="E18" i="2" s="1"/>
  <c r="E55" i="6"/>
  <c r="E53" i="6" s="1"/>
  <c r="I55" i="6"/>
  <c r="I53" i="6" s="1"/>
  <c r="C17" i="4"/>
  <c r="D17" i="4"/>
  <c r="E17" i="4"/>
  <c r="F17" i="4"/>
  <c r="G17" i="4"/>
  <c r="I17" i="4"/>
  <c r="H17" i="4"/>
  <c r="H17" i="11" l="1"/>
  <c r="G33" i="2"/>
  <c r="H53" i="9"/>
  <c r="G17" i="11"/>
  <c r="F33" i="2"/>
  <c r="F61" i="9"/>
  <c r="I11" i="11"/>
  <c r="H32" i="2"/>
  <c r="E11" i="11"/>
  <c r="D32" i="2"/>
  <c r="D11" i="11"/>
  <c r="C32" i="2"/>
  <c r="H47" i="6"/>
  <c r="D47" i="9"/>
  <c r="D48" i="9" s="1"/>
  <c r="E47" i="6"/>
  <c r="E48" i="6" s="1"/>
  <c r="F46" i="9"/>
  <c r="H9" i="9"/>
  <c r="H18" i="11" s="1"/>
  <c r="I7" i="9"/>
  <c r="E47" i="9"/>
  <c r="J6" i="9"/>
  <c r="C7" i="9"/>
  <c r="C19" i="11" s="1"/>
  <c r="J9" i="9"/>
  <c r="J7" i="9"/>
  <c r="I47" i="9"/>
  <c r="G46" i="6"/>
  <c r="C4" i="9"/>
  <c r="B61" i="9"/>
  <c r="I46" i="6"/>
  <c r="J6" i="6"/>
  <c r="G47" i="9"/>
  <c r="G48" i="9" s="1"/>
  <c r="H7" i="9"/>
  <c r="G9" i="2" s="1"/>
  <c r="D9" i="9"/>
  <c r="D10" i="9" s="1"/>
  <c r="D47" i="6"/>
  <c r="F11" i="9"/>
  <c r="E19" i="2" s="1"/>
  <c r="G12" i="9"/>
  <c r="F20" i="2" s="1"/>
  <c r="E11" i="9"/>
  <c r="D19" i="2" s="1"/>
  <c r="B55" i="9"/>
  <c r="B53" i="9" s="1"/>
  <c r="C47" i="6"/>
  <c r="C48" i="6" s="1"/>
  <c r="F55" i="9"/>
  <c r="F53" i="9" s="1"/>
  <c r="G11" i="9"/>
  <c r="F19" i="2" s="1"/>
  <c r="F6" i="6"/>
  <c r="D6" i="6"/>
  <c r="D12" i="9"/>
  <c r="C20" i="2" s="1"/>
  <c r="C12" i="9"/>
  <c r="B20" i="2" s="1"/>
  <c r="C5" i="9"/>
  <c r="I6" i="6"/>
  <c r="H10" i="6"/>
  <c r="H11" i="11"/>
  <c r="I9" i="9"/>
  <c r="I10" i="9" s="1"/>
  <c r="G4" i="9"/>
  <c r="G9" i="9"/>
  <c r="G10" i="9" s="1"/>
  <c r="C10" i="9"/>
  <c r="C47" i="9"/>
  <c r="B47" i="6"/>
  <c r="F47" i="6"/>
  <c r="F48" i="6" s="1"/>
  <c r="I19" i="11"/>
  <c r="H9" i="2"/>
  <c r="F10" i="6"/>
  <c r="F12" i="11"/>
  <c r="F7" i="2"/>
  <c r="G13" i="11"/>
  <c r="H7" i="2"/>
  <c r="I13" i="11"/>
  <c r="H13" i="11"/>
  <c r="G7" i="2"/>
  <c r="D13" i="11"/>
  <c r="C7" i="2"/>
  <c r="E7" i="2"/>
  <c r="F13" i="11"/>
  <c r="B7" i="2"/>
  <c r="C13" i="11"/>
  <c r="G10" i="6"/>
  <c r="G12" i="11"/>
  <c r="C10" i="6"/>
  <c r="C12" i="11"/>
  <c r="D7" i="2"/>
  <c r="E13" i="11"/>
  <c r="G19" i="11"/>
  <c r="F9" i="2"/>
  <c r="I6" i="9"/>
  <c r="D4" i="9"/>
  <c r="F48" i="9"/>
  <c r="B48" i="9"/>
  <c r="I48" i="9"/>
  <c r="H6" i="9"/>
  <c r="H48" i="9"/>
  <c r="D7" i="9"/>
  <c r="G53" i="9"/>
  <c r="E12" i="9"/>
  <c r="D20" i="2" s="1"/>
  <c r="E4" i="9"/>
  <c r="D61" i="9"/>
  <c r="D55" i="9"/>
  <c r="D53" i="9" s="1"/>
  <c r="E5" i="9"/>
  <c r="D5" i="9"/>
  <c r="E61" i="9"/>
  <c r="E55" i="9"/>
  <c r="E53" i="9" s="1"/>
  <c r="F5" i="9"/>
  <c r="F12" i="9"/>
  <c r="E20" i="2" s="1"/>
  <c r="F4" i="9"/>
  <c r="E7" i="9"/>
  <c r="E9" i="9"/>
  <c r="F9" i="9"/>
  <c r="F7" i="9"/>
  <c r="H10" i="9"/>
  <c r="I48" i="6"/>
  <c r="H48" i="6"/>
  <c r="I10" i="6"/>
  <c r="D48" i="6"/>
  <c r="H6" i="6"/>
  <c r="C6" i="6"/>
  <c r="G6" i="6"/>
  <c r="E10" i="6"/>
  <c r="D10" i="6"/>
  <c r="E6" i="6"/>
  <c r="I58" i="10"/>
  <c r="H58" i="10"/>
  <c r="G58" i="10"/>
  <c r="F58" i="10"/>
  <c r="E58" i="10"/>
  <c r="D58" i="10"/>
  <c r="C58" i="10"/>
  <c r="B58" i="10"/>
  <c r="I57" i="10"/>
  <c r="H57" i="10"/>
  <c r="G57" i="10"/>
  <c r="F57" i="10"/>
  <c r="E57" i="10"/>
  <c r="D57" i="10"/>
  <c r="C57" i="10"/>
  <c r="B57" i="10"/>
  <c r="I56" i="10"/>
  <c r="H56" i="10"/>
  <c r="G56" i="10"/>
  <c r="G59" i="10" s="1"/>
  <c r="F56" i="10"/>
  <c r="F59" i="10" s="1"/>
  <c r="E56" i="10"/>
  <c r="E59" i="10" s="1"/>
  <c r="D56" i="10"/>
  <c r="D59" i="10" s="1"/>
  <c r="C56" i="10"/>
  <c r="C59" i="10" s="1"/>
  <c r="B56" i="10"/>
  <c r="B59" i="10" s="1"/>
  <c r="I54" i="10"/>
  <c r="H54" i="10"/>
  <c r="G54" i="10"/>
  <c r="F54" i="10"/>
  <c r="E54" i="10"/>
  <c r="D54" i="10"/>
  <c r="C54" i="10"/>
  <c r="B54" i="10"/>
  <c r="I52" i="10"/>
  <c r="H52" i="10"/>
  <c r="G52" i="10"/>
  <c r="F52" i="10"/>
  <c r="E52" i="10"/>
  <c r="D52" i="10"/>
  <c r="C52" i="10"/>
  <c r="B52" i="10"/>
  <c r="I51" i="10"/>
  <c r="H51" i="10"/>
  <c r="G51" i="10"/>
  <c r="F51" i="10"/>
  <c r="E51" i="10"/>
  <c r="D51" i="10"/>
  <c r="C51" i="10"/>
  <c r="B51" i="10"/>
  <c r="I50" i="10"/>
  <c r="H50" i="10"/>
  <c r="G50" i="10"/>
  <c r="F50" i="10"/>
  <c r="E50" i="10"/>
  <c r="D50" i="10"/>
  <c r="C50" i="10"/>
  <c r="B50" i="10"/>
  <c r="I58" i="1"/>
  <c r="H58" i="1"/>
  <c r="G58" i="1"/>
  <c r="F58" i="1"/>
  <c r="E58" i="1"/>
  <c r="D58" i="1"/>
  <c r="C58" i="1"/>
  <c r="B58" i="1"/>
  <c r="I57" i="1"/>
  <c r="H57" i="1"/>
  <c r="G57" i="1"/>
  <c r="I56" i="1"/>
  <c r="H56" i="1"/>
  <c r="G56" i="1"/>
  <c r="F56" i="1"/>
  <c r="E56" i="1"/>
  <c r="D56" i="1"/>
  <c r="C56" i="1"/>
  <c r="B56" i="1"/>
  <c r="I54" i="1"/>
  <c r="H54" i="1"/>
  <c r="G54" i="1"/>
  <c r="F54" i="1"/>
  <c r="E54" i="1"/>
  <c r="D54" i="1"/>
  <c r="C54" i="1"/>
  <c r="B54" i="1"/>
  <c r="I52" i="1"/>
  <c r="H52" i="1"/>
  <c r="G52" i="1"/>
  <c r="F52" i="1"/>
  <c r="E52" i="1"/>
  <c r="D52" i="1"/>
  <c r="C52" i="1"/>
  <c r="B52" i="1"/>
  <c r="E51" i="1"/>
  <c r="D51" i="1"/>
  <c r="C51" i="1"/>
  <c r="B51" i="1"/>
  <c r="I50" i="1"/>
  <c r="H50" i="1"/>
  <c r="G50" i="1"/>
  <c r="F50" i="1"/>
  <c r="E50" i="1"/>
  <c r="D50" i="1"/>
  <c r="C50" i="1"/>
  <c r="B50" i="1"/>
  <c r="C56" i="4"/>
  <c r="D56" i="4"/>
  <c r="E56" i="4"/>
  <c r="F56" i="4"/>
  <c r="G56" i="4"/>
  <c r="H56" i="4"/>
  <c r="I56" i="4"/>
  <c r="C57" i="4"/>
  <c r="D57" i="4"/>
  <c r="E57" i="4"/>
  <c r="F57" i="4"/>
  <c r="G57" i="4"/>
  <c r="H57" i="4"/>
  <c r="I57" i="4"/>
  <c r="C58" i="4"/>
  <c r="D58" i="4"/>
  <c r="E58" i="4"/>
  <c r="F58" i="4"/>
  <c r="G58" i="4"/>
  <c r="H58" i="4"/>
  <c r="I58" i="4"/>
  <c r="B57" i="4"/>
  <c r="B58" i="4"/>
  <c r="B56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4" i="4"/>
  <c r="D54" i="4"/>
  <c r="E54" i="4"/>
  <c r="F54" i="4"/>
  <c r="G54" i="4"/>
  <c r="H54" i="4"/>
  <c r="I54" i="4"/>
  <c r="B54" i="4"/>
  <c r="B52" i="4"/>
  <c r="B51" i="4"/>
  <c r="C50" i="4"/>
  <c r="D50" i="4"/>
  <c r="E50" i="4"/>
  <c r="F50" i="4"/>
  <c r="G50" i="4"/>
  <c r="H50" i="4"/>
  <c r="I50" i="4"/>
  <c r="B50" i="4"/>
  <c r="I41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I27" i="4"/>
  <c r="H27" i="4"/>
  <c r="G27" i="4"/>
  <c r="F27" i="4"/>
  <c r="E27" i="4"/>
  <c r="C27" i="4"/>
  <c r="B27" i="4"/>
  <c r="I8" i="4"/>
  <c r="G8" i="4"/>
  <c r="F8" i="4"/>
  <c r="E8" i="4"/>
  <c r="D8" i="4"/>
  <c r="C8" i="4"/>
  <c r="I3" i="4"/>
  <c r="H3" i="4"/>
  <c r="G3" i="4"/>
  <c r="F25" i="2" s="1"/>
  <c r="F3" i="4"/>
  <c r="E25" i="2" s="1"/>
  <c r="E3" i="4"/>
  <c r="D25" i="2" s="1"/>
  <c r="D3" i="4"/>
  <c r="C25" i="2" s="1"/>
  <c r="C3" i="4"/>
  <c r="B25" i="2" s="1"/>
  <c r="I2" i="4"/>
  <c r="H2" i="4"/>
  <c r="G2" i="4"/>
  <c r="F2" i="4"/>
  <c r="E2" i="4"/>
  <c r="D2" i="4"/>
  <c r="C2" i="4"/>
  <c r="I32" i="1"/>
  <c r="I51" i="1" s="1"/>
  <c r="H32" i="1"/>
  <c r="G32" i="1"/>
  <c r="H17" i="1"/>
  <c r="H8" i="1" s="1"/>
  <c r="I17" i="1"/>
  <c r="I8" i="1" s="1"/>
  <c r="F42" i="1"/>
  <c r="E42" i="1"/>
  <c r="D42" i="1"/>
  <c r="C42" i="1"/>
  <c r="B42" i="1"/>
  <c r="F32" i="1"/>
  <c r="F25" i="1"/>
  <c r="F30" i="1" s="1"/>
  <c r="E25" i="1"/>
  <c r="E30" i="1" s="1"/>
  <c r="D25" i="1"/>
  <c r="D30" i="1" s="1"/>
  <c r="C25" i="1"/>
  <c r="C30" i="1" s="1"/>
  <c r="B25" i="1"/>
  <c r="B30" i="1" s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27" i="1"/>
  <c r="H27" i="1"/>
  <c r="G27" i="1"/>
  <c r="G8" i="1"/>
  <c r="F8" i="1"/>
  <c r="E8" i="1"/>
  <c r="D8" i="1"/>
  <c r="C8" i="1"/>
  <c r="I3" i="1"/>
  <c r="H3" i="1"/>
  <c r="G3" i="1"/>
  <c r="F3" i="1"/>
  <c r="E3" i="1"/>
  <c r="D3" i="1"/>
  <c r="C3" i="1"/>
  <c r="I2" i="1"/>
  <c r="H2" i="2" s="1"/>
  <c r="H2" i="1"/>
  <c r="G2" i="2" s="1"/>
  <c r="G2" i="1"/>
  <c r="F2" i="1"/>
  <c r="E2" i="1"/>
  <c r="D2" i="1"/>
  <c r="C2" i="1"/>
  <c r="I17" i="10"/>
  <c r="I16" i="10" s="1"/>
  <c r="C17" i="10"/>
  <c r="D17" i="10"/>
  <c r="E17" i="10"/>
  <c r="F17" i="10"/>
  <c r="G17" i="10"/>
  <c r="H17" i="10"/>
  <c r="I41" i="10"/>
  <c r="I40" i="10"/>
  <c r="I27" i="10"/>
  <c r="I3" i="10"/>
  <c r="I2" i="10"/>
  <c r="G18" i="11" l="1"/>
  <c r="F14" i="11"/>
  <c r="E31" i="2"/>
  <c r="G14" i="11"/>
  <c r="F31" i="2"/>
  <c r="I14" i="11"/>
  <c r="H31" i="2"/>
  <c r="D14" i="11"/>
  <c r="C31" i="2"/>
  <c r="E14" i="11"/>
  <c r="D31" i="2"/>
  <c r="C14" i="11"/>
  <c r="B31" i="2"/>
  <c r="G2" i="11"/>
  <c r="F30" i="2"/>
  <c r="I2" i="11"/>
  <c r="H30" i="2"/>
  <c r="C2" i="11"/>
  <c r="B30" i="2"/>
  <c r="F2" i="11"/>
  <c r="E30" i="2"/>
  <c r="D2" i="11"/>
  <c r="C30" i="2"/>
  <c r="E2" i="11"/>
  <c r="D30" i="2"/>
  <c r="E27" i="1"/>
  <c r="E61" i="1" s="1"/>
  <c r="H2" i="11"/>
  <c r="G30" i="2"/>
  <c r="H39" i="1"/>
  <c r="D39" i="4"/>
  <c r="E48" i="9"/>
  <c r="C48" i="9"/>
  <c r="B39" i="4"/>
  <c r="H19" i="11"/>
  <c r="D39" i="1"/>
  <c r="B9" i="2"/>
  <c r="I11" i="1"/>
  <c r="H13" i="2" s="1"/>
  <c r="J10" i="9"/>
  <c r="J18" i="11"/>
  <c r="I61" i="1"/>
  <c r="J12" i="1"/>
  <c r="I14" i="2" s="1"/>
  <c r="J4" i="1"/>
  <c r="J11" i="1"/>
  <c r="I13" i="2" s="1"/>
  <c r="J5" i="1"/>
  <c r="C39" i="4"/>
  <c r="G59" i="1"/>
  <c r="I18" i="11"/>
  <c r="I59" i="10"/>
  <c r="H59" i="1"/>
  <c r="E39" i="4"/>
  <c r="I59" i="1"/>
  <c r="E39" i="1"/>
  <c r="I61" i="10"/>
  <c r="J5" i="10"/>
  <c r="J11" i="10"/>
  <c r="I21" i="2" s="1"/>
  <c r="J4" i="10"/>
  <c r="J12" i="10"/>
  <c r="I22" i="2" s="1"/>
  <c r="C57" i="1"/>
  <c r="C59" i="1" s="1"/>
  <c r="H59" i="10"/>
  <c r="J19" i="11"/>
  <c r="I9" i="2"/>
  <c r="D27" i="1"/>
  <c r="D61" i="1" s="1"/>
  <c r="E57" i="1"/>
  <c r="E59" i="1" s="1"/>
  <c r="E4" i="2"/>
  <c r="C4" i="2"/>
  <c r="H11" i="4"/>
  <c r="G15" i="2" s="1"/>
  <c r="I55" i="4"/>
  <c r="I53" i="4" s="1"/>
  <c r="J5" i="4"/>
  <c r="J12" i="4"/>
  <c r="I16" i="2" s="1"/>
  <c r="J4" i="4"/>
  <c r="J11" i="4"/>
  <c r="I15" i="2" s="1"/>
  <c r="G45" i="4"/>
  <c r="G46" i="4" s="1"/>
  <c r="E24" i="2"/>
  <c r="G45" i="1"/>
  <c r="G46" i="1" s="1"/>
  <c r="E45" i="4"/>
  <c r="E47" i="4" s="1"/>
  <c r="B4" i="2"/>
  <c r="I55" i="1"/>
  <c r="I53" i="1" s="1"/>
  <c r="I55" i="10"/>
  <c r="I53" i="10" s="1"/>
  <c r="G6" i="9"/>
  <c r="G24" i="2"/>
  <c r="G25" i="2"/>
  <c r="I45" i="4"/>
  <c r="I46" i="4" s="1"/>
  <c r="H28" i="2"/>
  <c r="F24" i="2"/>
  <c r="H45" i="1"/>
  <c r="F45" i="4"/>
  <c r="F46" i="4" s="1"/>
  <c r="G59" i="4"/>
  <c r="F4" i="2"/>
  <c r="B57" i="1"/>
  <c r="B59" i="1" s="1"/>
  <c r="H24" i="2"/>
  <c r="E12" i="1"/>
  <c r="D14" i="2" s="1"/>
  <c r="B45" i="1"/>
  <c r="B46" i="1" s="1"/>
  <c r="G4" i="2"/>
  <c r="H25" i="2"/>
  <c r="C55" i="4"/>
  <c r="C53" i="4" s="1"/>
  <c r="H45" i="4"/>
  <c r="H46" i="4" s="1"/>
  <c r="D4" i="2"/>
  <c r="D57" i="1"/>
  <c r="D59" i="1" s="1"/>
  <c r="H4" i="2"/>
  <c r="B24" i="2"/>
  <c r="H11" i="1"/>
  <c r="G13" i="2" s="1"/>
  <c r="G11" i="4"/>
  <c r="F15" i="2" s="1"/>
  <c r="B45" i="4"/>
  <c r="C59" i="4"/>
  <c r="I61" i="4"/>
  <c r="F51" i="1"/>
  <c r="F57" i="1"/>
  <c r="F59" i="1" s="1"/>
  <c r="D18" i="11"/>
  <c r="I45" i="1"/>
  <c r="I46" i="1" s="1"/>
  <c r="E55" i="4"/>
  <c r="E53" i="4" s="1"/>
  <c r="F11" i="4"/>
  <c r="E15" i="2" s="1"/>
  <c r="C24" i="2"/>
  <c r="F2" i="2"/>
  <c r="C45" i="4"/>
  <c r="C46" i="4" s="1"/>
  <c r="F61" i="4"/>
  <c r="G51" i="1"/>
  <c r="G55" i="1"/>
  <c r="G61" i="1"/>
  <c r="D6" i="9"/>
  <c r="C6" i="9"/>
  <c r="B55" i="4"/>
  <c r="C11" i="4"/>
  <c r="B15" i="2" s="1"/>
  <c r="I45" i="10"/>
  <c r="I46" i="10" s="1"/>
  <c r="C45" i="1"/>
  <c r="C46" i="1" s="1"/>
  <c r="D24" i="2"/>
  <c r="F45" i="1"/>
  <c r="F46" i="1" s="1"/>
  <c r="H55" i="4"/>
  <c r="H53" i="4" s="1"/>
  <c r="I11" i="4"/>
  <c r="H15" i="2" s="1"/>
  <c r="D45" i="4"/>
  <c r="E61" i="4"/>
  <c r="H51" i="1"/>
  <c r="H55" i="1"/>
  <c r="H61" i="1"/>
  <c r="B48" i="6"/>
  <c r="F10" i="9"/>
  <c r="F18" i="11"/>
  <c r="E19" i="11"/>
  <c r="D9" i="2"/>
  <c r="D19" i="11"/>
  <c r="C9" i="2"/>
  <c r="E10" i="9"/>
  <c r="E18" i="11"/>
  <c r="F19" i="11"/>
  <c r="E9" i="2"/>
  <c r="E6" i="9"/>
  <c r="F6" i="9"/>
  <c r="H12" i="4"/>
  <c r="G16" i="2" s="1"/>
  <c r="I4" i="4"/>
  <c r="I12" i="4"/>
  <c r="H16" i="2" s="1"/>
  <c r="I7" i="4"/>
  <c r="H59" i="4"/>
  <c r="H10" i="2"/>
  <c r="E2" i="2"/>
  <c r="E7" i="1"/>
  <c r="B27" i="1"/>
  <c r="F27" i="1"/>
  <c r="B39" i="1"/>
  <c r="B47" i="1" s="1"/>
  <c r="F39" i="1"/>
  <c r="D45" i="1"/>
  <c r="D47" i="1" s="1"/>
  <c r="D2" i="2"/>
  <c r="C27" i="1"/>
  <c r="D5" i="1" s="1"/>
  <c r="C39" i="1"/>
  <c r="C47" i="1" s="1"/>
  <c r="E45" i="1"/>
  <c r="B2" i="2"/>
  <c r="C2" i="2"/>
  <c r="I39" i="1"/>
  <c r="I5" i="4"/>
  <c r="I9" i="4"/>
  <c r="I59" i="4"/>
  <c r="E59" i="4"/>
  <c r="H61" i="4"/>
  <c r="B61" i="4"/>
  <c r="F39" i="4"/>
  <c r="G61" i="4"/>
  <c r="C61" i="4"/>
  <c r="B53" i="4"/>
  <c r="G55" i="4"/>
  <c r="G53" i="4" s="1"/>
  <c r="F59" i="4"/>
  <c r="G12" i="4"/>
  <c r="F16" i="2" s="1"/>
  <c r="B59" i="4"/>
  <c r="D59" i="4"/>
  <c r="C5" i="4"/>
  <c r="C12" i="4"/>
  <c r="B16" i="2" s="1"/>
  <c r="F55" i="4"/>
  <c r="F53" i="4" s="1"/>
  <c r="D7" i="4"/>
  <c r="F5" i="4"/>
  <c r="F12" i="4"/>
  <c r="E16" i="2" s="1"/>
  <c r="F4" i="4"/>
  <c r="G5" i="4"/>
  <c r="C9" i="4"/>
  <c r="C7" i="4"/>
  <c r="G7" i="4"/>
  <c r="G9" i="4"/>
  <c r="G39" i="4"/>
  <c r="C4" i="4"/>
  <c r="G4" i="4"/>
  <c r="H5" i="4"/>
  <c r="D9" i="4"/>
  <c r="H9" i="4"/>
  <c r="H15" i="11" s="1"/>
  <c r="D27" i="4"/>
  <c r="E11" i="4" s="1"/>
  <c r="D15" i="2" s="1"/>
  <c r="H39" i="4"/>
  <c r="H4" i="4"/>
  <c r="H8" i="4"/>
  <c r="E9" i="4"/>
  <c r="I39" i="4"/>
  <c r="H7" i="4"/>
  <c r="I9" i="1"/>
  <c r="I3" i="11" s="1"/>
  <c r="I4" i="1"/>
  <c r="G39" i="1"/>
  <c r="G47" i="1" s="1"/>
  <c r="E5" i="1"/>
  <c r="F9" i="1"/>
  <c r="F3" i="11" s="1"/>
  <c r="F7" i="1"/>
  <c r="E9" i="1"/>
  <c r="E3" i="11" s="1"/>
  <c r="D9" i="1"/>
  <c r="G9" i="1"/>
  <c r="G7" i="1"/>
  <c r="C9" i="1"/>
  <c r="D7" i="1"/>
  <c r="C7" i="1"/>
  <c r="H7" i="1"/>
  <c r="H12" i="1"/>
  <c r="G14" i="2" s="1"/>
  <c r="H5" i="1"/>
  <c r="I7" i="1"/>
  <c r="I12" i="1"/>
  <c r="H14" i="2" s="1"/>
  <c r="H4" i="1"/>
  <c r="I5" i="1"/>
  <c r="H9" i="1"/>
  <c r="I10" i="1"/>
  <c r="I8" i="10"/>
  <c r="I39" i="10"/>
  <c r="H16" i="10"/>
  <c r="H41" i="10"/>
  <c r="H40" i="10"/>
  <c r="I9" i="10"/>
  <c r="H27" i="10"/>
  <c r="H8" i="10"/>
  <c r="H3" i="10"/>
  <c r="H2" i="10"/>
  <c r="C16" i="10"/>
  <c r="D16" i="10"/>
  <c r="E16" i="10"/>
  <c r="G16" i="10"/>
  <c r="C41" i="10"/>
  <c r="D41" i="10"/>
  <c r="E41" i="10"/>
  <c r="F41" i="10"/>
  <c r="G41" i="10"/>
  <c r="B41" i="10"/>
  <c r="D40" i="10"/>
  <c r="E40" i="10"/>
  <c r="F40" i="10"/>
  <c r="G40" i="10"/>
  <c r="C40" i="10"/>
  <c r="B40" i="10"/>
  <c r="B27" i="10"/>
  <c r="C27" i="10"/>
  <c r="D27" i="10"/>
  <c r="E27" i="10"/>
  <c r="F27" i="10"/>
  <c r="G27" i="10"/>
  <c r="F16" i="10"/>
  <c r="H8" i="11" l="1"/>
  <c r="G34" i="2"/>
  <c r="E12" i="10"/>
  <c r="D22" i="2" s="1"/>
  <c r="I8" i="11"/>
  <c r="H34" i="2"/>
  <c r="D47" i="4"/>
  <c r="D48" i="4" s="1"/>
  <c r="H14" i="11"/>
  <c r="G31" i="2"/>
  <c r="E4" i="1"/>
  <c r="C4" i="1"/>
  <c r="E55" i="1"/>
  <c r="E53" i="1" s="1"/>
  <c r="D4" i="1"/>
  <c r="F47" i="1"/>
  <c r="F48" i="1" s="1"/>
  <c r="H47" i="1"/>
  <c r="E4" i="10"/>
  <c r="B47" i="4"/>
  <c r="B48" i="4" s="1"/>
  <c r="H53" i="1"/>
  <c r="D12" i="1"/>
  <c r="C14" i="2" s="1"/>
  <c r="I47" i="1"/>
  <c r="D46" i="4"/>
  <c r="F10" i="1"/>
  <c r="E47" i="1"/>
  <c r="D55" i="1"/>
  <c r="D53" i="1" s="1"/>
  <c r="J6" i="1"/>
  <c r="E11" i="1"/>
  <c r="D13" i="2" s="1"/>
  <c r="H46" i="1"/>
  <c r="J6" i="10"/>
  <c r="E46" i="1"/>
  <c r="C47" i="4"/>
  <c r="B46" i="4"/>
  <c r="F47" i="4"/>
  <c r="H47" i="4"/>
  <c r="I47" i="4"/>
  <c r="I48" i="4" s="1"/>
  <c r="J6" i="4"/>
  <c r="I6" i="4"/>
  <c r="C48" i="4"/>
  <c r="H48" i="1"/>
  <c r="F45" i="10"/>
  <c r="F46" i="10" s="1"/>
  <c r="G53" i="1"/>
  <c r="E46" i="4"/>
  <c r="C5" i="10"/>
  <c r="C11" i="10"/>
  <c r="B21" i="2" s="1"/>
  <c r="B61" i="10"/>
  <c r="B55" i="10"/>
  <c r="B53" i="10" s="1"/>
  <c r="E45" i="10"/>
  <c r="E46" i="10" s="1"/>
  <c r="G6" i="4"/>
  <c r="D46" i="1"/>
  <c r="H45" i="10"/>
  <c r="H46" i="10" s="1"/>
  <c r="F5" i="1"/>
  <c r="G11" i="1"/>
  <c r="F13" i="2" s="1"/>
  <c r="F61" i="1"/>
  <c r="F55" i="1"/>
  <c r="F53" i="1" s="1"/>
  <c r="F11" i="1"/>
  <c r="E13" i="2" s="1"/>
  <c r="H11" i="10"/>
  <c r="G21" i="2" s="1"/>
  <c r="G61" i="10"/>
  <c r="G55" i="10"/>
  <c r="G53" i="10" s="1"/>
  <c r="F5" i="10"/>
  <c r="G11" i="10"/>
  <c r="F21" i="2" s="1"/>
  <c r="F61" i="10"/>
  <c r="F55" i="10"/>
  <c r="F53" i="10" s="1"/>
  <c r="C45" i="10"/>
  <c r="C46" i="10" s="1"/>
  <c r="F4" i="10"/>
  <c r="F11" i="10"/>
  <c r="E21" i="2" s="1"/>
  <c r="E61" i="10"/>
  <c r="E55" i="10"/>
  <c r="E53" i="10" s="1"/>
  <c r="F6" i="4"/>
  <c r="D11" i="1"/>
  <c r="C13" i="2" s="1"/>
  <c r="C61" i="1"/>
  <c r="C55" i="1"/>
  <c r="C53" i="1" s="1"/>
  <c r="C11" i="1"/>
  <c r="B13" i="2" s="1"/>
  <c r="B61" i="1"/>
  <c r="B55" i="1"/>
  <c r="B53" i="1" s="1"/>
  <c r="D45" i="10"/>
  <c r="D46" i="10" s="1"/>
  <c r="I47" i="10"/>
  <c r="E11" i="10"/>
  <c r="D21" i="2" s="1"/>
  <c r="D61" i="10"/>
  <c r="D55" i="10"/>
  <c r="D53" i="10" s="1"/>
  <c r="F4" i="1"/>
  <c r="G45" i="10"/>
  <c r="G46" i="10" s="1"/>
  <c r="G28" i="2"/>
  <c r="I4" i="10"/>
  <c r="I11" i="10"/>
  <c r="H21" i="2" s="1"/>
  <c r="H61" i="10"/>
  <c r="H55" i="10"/>
  <c r="H53" i="10" s="1"/>
  <c r="D5" i="10"/>
  <c r="D11" i="10"/>
  <c r="C21" i="2" s="1"/>
  <c r="C55" i="10"/>
  <c r="C53" i="10" s="1"/>
  <c r="C61" i="10"/>
  <c r="H39" i="10"/>
  <c r="H47" i="10" s="1"/>
  <c r="G5" i="1"/>
  <c r="D11" i="4"/>
  <c r="C15" i="2" s="1"/>
  <c r="G47" i="4"/>
  <c r="G48" i="4" s="1"/>
  <c r="G5" i="2"/>
  <c r="H16" i="11"/>
  <c r="D10" i="4"/>
  <c r="D15" i="11"/>
  <c r="G10" i="4"/>
  <c r="G15" i="11"/>
  <c r="E10" i="4"/>
  <c r="E15" i="11"/>
  <c r="I10" i="4"/>
  <c r="I15" i="11"/>
  <c r="H5" i="2"/>
  <c r="I16" i="11"/>
  <c r="C10" i="4"/>
  <c r="C15" i="11"/>
  <c r="C48" i="1"/>
  <c r="C16" i="11"/>
  <c r="B5" i="2"/>
  <c r="D16" i="11"/>
  <c r="C5" i="2"/>
  <c r="F5" i="2"/>
  <c r="G16" i="11"/>
  <c r="I10" i="10"/>
  <c r="I9" i="11"/>
  <c r="E5" i="10"/>
  <c r="D4" i="10"/>
  <c r="G10" i="2"/>
  <c r="D12" i="10"/>
  <c r="C22" i="2" s="1"/>
  <c r="C4" i="10"/>
  <c r="C12" i="10"/>
  <c r="B22" i="2" s="1"/>
  <c r="F12" i="10"/>
  <c r="E22" i="2" s="1"/>
  <c r="I7" i="10"/>
  <c r="D48" i="1"/>
  <c r="E48" i="1"/>
  <c r="B3" i="2"/>
  <c r="C4" i="11"/>
  <c r="F3" i="2"/>
  <c r="G4" i="11"/>
  <c r="E6" i="1"/>
  <c r="C12" i="1"/>
  <c r="B14" i="2" s="1"/>
  <c r="C5" i="1"/>
  <c r="F12" i="1"/>
  <c r="E14" i="2" s="1"/>
  <c r="H10" i="1"/>
  <c r="H3" i="11"/>
  <c r="D6" i="1"/>
  <c r="H3" i="2"/>
  <c r="I4" i="11"/>
  <c r="H6" i="1"/>
  <c r="E10" i="1"/>
  <c r="C10" i="1"/>
  <c r="C3" i="11"/>
  <c r="G4" i="1"/>
  <c r="F4" i="11"/>
  <c r="E3" i="2"/>
  <c r="E4" i="11"/>
  <c r="D3" i="2"/>
  <c r="G3" i="2"/>
  <c r="H4" i="11"/>
  <c r="D10" i="1"/>
  <c r="D3" i="11"/>
  <c r="I6" i="1"/>
  <c r="C3" i="2"/>
  <c r="D4" i="11"/>
  <c r="G10" i="1"/>
  <c r="G3" i="11"/>
  <c r="G12" i="1"/>
  <c r="F14" i="2" s="1"/>
  <c r="B48" i="1"/>
  <c r="D55" i="4"/>
  <c r="D53" i="4" s="1"/>
  <c r="D61" i="4"/>
  <c r="H6" i="4"/>
  <c r="C6" i="4"/>
  <c r="D12" i="4"/>
  <c r="C16" i="2" s="1"/>
  <c r="H10" i="4"/>
  <c r="E12" i="4"/>
  <c r="D16" i="2" s="1"/>
  <c r="E4" i="4"/>
  <c r="E5" i="4"/>
  <c r="E48" i="4"/>
  <c r="F9" i="4"/>
  <c r="F7" i="4"/>
  <c r="D4" i="4"/>
  <c r="D5" i="4"/>
  <c r="E7" i="4"/>
  <c r="I48" i="1"/>
  <c r="G48" i="1"/>
  <c r="H5" i="10"/>
  <c r="I12" i="10"/>
  <c r="H22" i="2" s="1"/>
  <c r="H4" i="10"/>
  <c r="I5" i="10"/>
  <c r="G4" i="10"/>
  <c r="H12" i="10"/>
  <c r="G22" i="2" s="1"/>
  <c r="G12" i="10"/>
  <c r="F22" i="2" s="1"/>
  <c r="G5" i="10"/>
  <c r="I48" i="10"/>
  <c r="B39" i="10"/>
  <c r="B45" i="10"/>
  <c r="B46" i="10" s="1"/>
  <c r="F39" i="10"/>
  <c r="E39" i="10"/>
  <c r="D39" i="10"/>
  <c r="G39" i="10"/>
  <c r="G47" i="10" s="1"/>
  <c r="C39" i="10"/>
  <c r="H9" i="10"/>
  <c r="G8" i="10"/>
  <c r="F8" i="10"/>
  <c r="E8" i="10"/>
  <c r="D8" i="10"/>
  <c r="C8" i="10"/>
  <c r="G3" i="10"/>
  <c r="F3" i="10"/>
  <c r="E3" i="10"/>
  <c r="D3" i="10"/>
  <c r="C3" i="10"/>
  <c r="G2" i="10"/>
  <c r="F10" i="2" s="1"/>
  <c r="F2" i="10"/>
  <c r="E2" i="10"/>
  <c r="D2" i="10"/>
  <c r="C2" i="10"/>
  <c r="D8" i="11" l="1"/>
  <c r="C34" i="2"/>
  <c r="E8" i="11"/>
  <c r="D34" i="2"/>
  <c r="F8" i="11"/>
  <c r="E34" i="2"/>
  <c r="G8" i="11"/>
  <c r="F34" i="2"/>
  <c r="C8" i="11"/>
  <c r="B34" i="2"/>
  <c r="C47" i="10"/>
  <c r="D47" i="10"/>
  <c r="F48" i="4"/>
  <c r="E47" i="10"/>
  <c r="F47" i="10"/>
  <c r="B47" i="10"/>
  <c r="H48" i="4"/>
  <c r="F6" i="1"/>
  <c r="D28" i="2"/>
  <c r="E28" i="2"/>
  <c r="C6" i="1"/>
  <c r="F28" i="2"/>
  <c r="B28" i="2"/>
  <c r="C28" i="2"/>
  <c r="F10" i="4"/>
  <c r="F15" i="11"/>
  <c r="D5" i="2"/>
  <c r="E16" i="11"/>
  <c r="E5" i="2"/>
  <c r="F16" i="11"/>
  <c r="H10" i="10"/>
  <c r="H9" i="11"/>
  <c r="I6" i="10"/>
  <c r="H6" i="10"/>
  <c r="H11" i="2"/>
  <c r="I10" i="11"/>
  <c r="G6" i="1"/>
  <c r="D6" i="4"/>
  <c r="E6" i="4"/>
  <c r="H7" i="10"/>
  <c r="H48" i="10"/>
  <c r="E10" i="2"/>
  <c r="D10" i="2"/>
  <c r="B10" i="2"/>
  <c r="C10" i="2"/>
  <c r="G48" i="10"/>
  <c r="D9" i="10"/>
  <c r="G6" i="10"/>
  <c r="C6" i="10"/>
  <c r="E6" i="10"/>
  <c r="F6" i="10"/>
  <c r="D6" i="10"/>
  <c r="C48" i="10"/>
  <c r="D48" i="10"/>
  <c r="D7" i="10"/>
  <c r="G11" i="2" l="1"/>
  <c r="H10" i="11"/>
  <c r="D10" i="11"/>
  <c r="C11" i="2"/>
  <c r="D10" i="10"/>
  <c r="D9" i="11"/>
  <c r="F48" i="10"/>
  <c r="G7" i="10"/>
  <c r="G9" i="10"/>
  <c r="B48" i="10"/>
  <c r="C7" i="10"/>
  <c r="C9" i="10"/>
  <c r="F9" i="10"/>
  <c r="E9" i="10"/>
  <c r="E48" i="10"/>
  <c r="F7" i="10"/>
  <c r="E7" i="10"/>
  <c r="F10" i="11" l="1"/>
  <c r="E11" i="2"/>
  <c r="C10" i="10"/>
  <c r="C9" i="11"/>
  <c r="G10" i="11"/>
  <c r="F11" i="2"/>
  <c r="C10" i="11"/>
  <c r="B11" i="2"/>
  <c r="E10" i="10"/>
  <c r="E9" i="11"/>
  <c r="E10" i="11"/>
  <c r="D11" i="2"/>
  <c r="F10" i="10"/>
  <c r="F9" i="11"/>
  <c r="G10" i="10"/>
  <c r="G9" i="11"/>
</calcChain>
</file>

<file path=xl/sharedStrings.xml><?xml version="1.0" encoding="utf-8"?>
<sst xmlns="http://schemas.openxmlformats.org/spreadsheetml/2006/main" count="404" uniqueCount="94">
  <si>
    <t>EBITDA</t>
  </si>
  <si>
    <t>EBITA</t>
  </si>
  <si>
    <t>EBIT</t>
  </si>
  <si>
    <t>EBT</t>
  </si>
  <si>
    <t>EAT</t>
  </si>
  <si>
    <t>Goodwill</t>
  </si>
  <si>
    <t>ROE</t>
  </si>
  <si>
    <t>ROS</t>
  </si>
  <si>
    <t>L</t>
  </si>
  <si>
    <t>ROCE</t>
  </si>
  <si>
    <t>m</t>
  </si>
  <si>
    <t>NAT</t>
  </si>
  <si>
    <t>BASF</t>
  </si>
  <si>
    <t>ThyssenKrupp</t>
  </si>
  <si>
    <t>ROE BASF</t>
  </si>
  <si>
    <t>ROCE BASF</t>
  </si>
  <si>
    <t>ROE ThyssenKrupp</t>
  </si>
  <si>
    <t>ROE Siemens</t>
  </si>
  <si>
    <t>ROCE Siemens</t>
  </si>
  <si>
    <t>ROE VW</t>
  </si>
  <si>
    <t>ROCE VW</t>
  </si>
  <si>
    <t>ROE SAP</t>
  </si>
  <si>
    <t>ROCE SAP</t>
  </si>
  <si>
    <t>Siemens</t>
  </si>
  <si>
    <t>Volkswagen</t>
  </si>
  <si>
    <t>SAP</t>
  </si>
  <si>
    <t>Thyssen Krupp</t>
  </si>
  <si>
    <t>VW</t>
  </si>
  <si>
    <t>RONA</t>
  </si>
  <si>
    <t>RONAT</t>
  </si>
  <si>
    <t>NCET</t>
  </si>
  <si>
    <t>ROCE ThyssenKrupp</t>
  </si>
  <si>
    <t>RONA BASF</t>
  </si>
  <si>
    <t>RONAT BASF</t>
  </si>
  <si>
    <t>RONA ThyssenKrupp</t>
  </si>
  <si>
    <t>RONA Siemens</t>
  </si>
  <si>
    <t>RONA VW</t>
  </si>
  <si>
    <t>RONA SAP</t>
  </si>
  <si>
    <t>RONAT ThyssenKrupp</t>
  </si>
  <si>
    <t>RONAT Siemens</t>
  </si>
  <si>
    <t>RONAT VW</t>
  </si>
  <si>
    <t>RONAT SAP</t>
  </si>
  <si>
    <t>ROS BASF</t>
  </si>
  <si>
    <t>ROS ThyssenKrupp</t>
  </si>
  <si>
    <t>ROS Siemens</t>
  </si>
  <si>
    <t>ROS VW</t>
  </si>
  <si>
    <t>ROS SAP</t>
  </si>
  <si>
    <t>Bayer</t>
  </si>
  <si>
    <t>ROE Bayer</t>
  </si>
  <si>
    <t>ROCE Bayer</t>
  </si>
  <si>
    <t>RONA Bayer</t>
  </si>
  <si>
    <t>RONAT Bayer</t>
  </si>
  <si>
    <t>ROS Bayer</t>
  </si>
  <si>
    <t>m Bayer</t>
  </si>
  <si>
    <t>*)angepasst!</t>
  </si>
  <si>
    <r>
      <t>2018</t>
    </r>
    <r>
      <rPr>
        <b/>
        <sz val="11"/>
        <color rgb="FFFF0000"/>
        <rFont val="Calibri"/>
        <family val="2"/>
        <scheme val="minor"/>
      </rPr>
      <t>*</t>
    </r>
  </si>
  <si>
    <t>m BASF</t>
  </si>
  <si>
    <t>m Siemens</t>
  </si>
  <si>
    <t>m VW</t>
  </si>
  <si>
    <t>m SAP</t>
  </si>
  <si>
    <t>m ThyssenKrupp</t>
  </si>
  <si>
    <t>*) angepasst</t>
  </si>
  <si>
    <t>31.12.2018*</t>
  </si>
  <si>
    <t>(in € million)</t>
  </si>
  <si>
    <t>Revenue</t>
  </si>
  <si>
    <t>Interest expenses</t>
  </si>
  <si>
    <t>Total assets / capital</t>
  </si>
  <si>
    <t>Equity</t>
  </si>
  <si>
    <t>Interest-bearing debt</t>
  </si>
  <si>
    <t>Pension obligations</t>
  </si>
  <si>
    <t>Net Assets</t>
  </si>
  <si>
    <t>Cash &amp; equivalents</t>
  </si>
  <si>
    <t>Financial assets</t>
  </si>
  <si>
    <t>Capital Employed</t>
  </si>
  <si>
    <t>Intangible assets</t>
  </si>
  <si>
    <t>PP&amp;E</t>
  </si>
  <si>
    <t>Inventories</t>
  </si>
  <si>
    <t>Accounts receivables</t>
  </si>
  <si>
    <t>Deferred tax assets</t>
  </si>
  <si>
    <t>Other assets</t>
  </si>
  <si>
    <t>Total assets</t>
  </si>
  <si>
    <t>Other accruals and provisions*</t>
  </si>
  <si>
    <t>Accounts payables</t>
  </si>
  <si>
    <t>Deferred tax obligations</t>
  </si>
  <si>
    <t>Other non-interest bear. Debt</t>
  </si>
  <si>
    <t>Check</t>
  </si>
  <si>
    <t>Fixed assets</t>
  </si>
  <si>
    <t>Operating net working capital</t>
  </si>
  <si>
    <t>Other net working capital</t>
  </si>
  <si>
    <t>Net assets</t>
  </si>
  <si>
    <t>Total assets less net assets</t>
  </si>
  <si>
    <t>*) except pension obligations</t>
  </si>
  <si>
    <t>(Bus. Year: 01.10.-30.09.)</t>
  </si>
  <si>
    <t>Business year ends at 30.09. for Siemens and ThyssenKrupp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</si>
</sst>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i/>
      <sz val="10"/>
      <color theme="1"/>
      <name val="Segoe UI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0F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0" fillId="0" borderId="0" xfId="0" applyBorder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Fill="1" applyBorder="1"/>
    <xf numFmtId="0" fontId="0" fillId="0" borderId="0" xfId="0" applyFont="1"/>
    <xf numFmtId="0" fontId="2" fillId="0" borderId="0" xfId="0" applyFont="1" applyFill="1" applyBorder="1"/>
    <xf numFmtId="3" fontId="2" fillId="0" borderId="0" xfId="0" applyNumberFormat="1" applyFont="1"/>
    <xf numFmtId="0" fontId="2" fillId="0" borderId="0" xfId="0" applyFont="1"/>
    <xf numFmtId="3" fontId="1" fillId="0" borderId="2" xfId="0" applyNumberFormat="1" applyFont="1" applyBorder="1"/>
    <xf numFmtId="0" fontId="1" fillId="0" borderId="2" xfId="0" applyFont="1" applyBorder="1"/>
    <xf numFmtId="0" fontId="0" fillId="0" borderId="4" xfId="0" applyBorder="1"/>
    <xf numFmtId="14" fontId="1" fillId="0" borderId="2" xfId="0" applyNumberFormat="1" applyFont="1" applyBorder="1"/>
    <xf numFmtId="14" fontId="1" fillId="0" borderId="5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" fillId="0" borderId="3" xfId="0" applyFont="1" applyBorder="1"/>
    <xf numFmtId="0" fontId="0" fillId="0" borderId="7" xfId="0" applyFill="1" applyBorder="1"/>
    <xf numFmtId="0" fontId="0" fillId="0" borderId="3" xfId="0" applyBorder="1"/>
    <xf numFmtId="3" fontId="0" fillId="0" borderId="2" xfId="0" applyNumberFormat="1" applyBorder="1"/>
    <xf numFmtId="3" fontId="0" fillId="0" borderId="5" xfId="0" applyNumberFormat="1" applyBorder="1"/>
    <xf numFmtId="0" fontId="0" fillId="0" borderId="3" xfId="0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3" fontId="1" fillId="0" borderId="5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4" xfId="0" applyFont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164" fontId="0" fillId="0" borderId="14" xfId="0" applyNumberFormat="1" applyBorder="1"/>
    <xf numFmtId="164" fontId="0" fillId="0" borderId="0" xfId="0" applyNumberFormat="1" applyBorder="1"/>
    <xf numFmtId="164" fontId="0" fillId="0" borderId="9" xfId="0" applyNumberFormat="1" applyBorder="1"/>
    <xf numFmtId="10" fontId="2" fillId="0" borderId="14" xfId="0" applyNumberFormat="1" applyFont="1" applyBorder="1"/>
    <xf numFmtId="10" fontId="2" fillId="0" borderId="0" xfId="0" applyNumberFormat="1" applyFont="1" applyBorder="1"/>
    <xf numFmtId="10" fontId="2" fillId="0" borderId="9" xfId="0" applyNumberFormat="1" applyFont="1" applyBorder="1"/>
    <xf numFmtId="10" fontId="2" fillId="0" borderId="15" xfId="0" applyNumberFormat="1" applyFont="1" applyBorder="1"/>
    <xf numFmtId="10" fontId="2" fillId="0" borderId="1" xfId="0" applyNumberFormat="1" applyFont="1" applyBorder="1"/>
    <xf numFmtId="10" fontId="2" fillId="0" borderId="10" xfId="0" applyNumberFormat="1" applyFont="1" applyBorder="1"/>
    <xf numFmtId="10" fontId="0" fillId="0" borderId="4" xfId="0" applyNumberFormat="1" applyBorder="1"/>
    <xf numFmtId="10" fontId="0" fillId="0" borderId="2" xfId="0" applyNumberFormat="1" applyBorder="1"/>
    <xf numFmtId="10" fontId="0" fillId="0" borderId="5" xfId="0" applyNumberFormat="1" applyBorder="1"/>
    <xf numFmtId="164" fontId="0" fillId="0" borderId="15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5" fontId="0" fillId="0" borderId="15" xfId="0" applyNumberFormat="1" applyBorder="1"/>
    <xf numFmtId="165" fontId="0" fillId="0" borderId="1" xfId="0" applyNumberFormat="1" applyBorder="1"/>
    <xf numFmtId="165" fontId="0" fillId="0" borderId="10" xfId="0" applyNumberFormat="1" applyBorder="1"/>
    <xf numFmtId="3" fontId="0" fillId="0" borderId="2" xfId="0" applyNumberFormat="1" applyFill="1" applyBorder="1"/>
    <xf numFmtId="3" fontId="0" fillId="0" borderId="0" xfId="0" applyNumberFormat="1" applyFill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10" fontId="0" fillId="0" borderId="0" xfId="0" applyNumberFormat="1"/>
    <xf numFmtId="0" fontId="3" fillId="0" borderId="0" xfId="0" applyFont="1"/>
    <xf numFmtId="10" fontId="3" fillId="0" borderId="11" xfId="0" applyNumberFormat="1" applyFont="1" applyBorder="1" applyAlignment="1">
      <alignment horizontal="right" indent="1"/>
    </xf>
    <xf numFmtId="10" fontId="3" fillId="0" borderId="12" xfId="0" applyNumberFormat="1" applyFont="1" applyBorder="1" applyAlignment="1">
      <alignment horizontal="right" indent="1"/>
    </xf>
    <xf numFmtId="10" fontId="3" fillId="0" borderId="13" xfId="0" applyNumberFormat="1" applyFont="1" applyBorder="1" applyAlignment="1">
      <alignment horizontal="right" indent="1"/>
    </xf>
    <xf numFmtId="10" fontId="4" fillId="2" borderId="4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5" fontId="3" fillId="0" borderId="15" xfId="0" applyNumberFormat="1" applyFont="1" applyBorder="1" applyAlignment="1">
      <alignment horizontal="right" indent="1"/>
    </xf>
    <xf numFmtId="165" fontId="3" fillId="0" borderId="1" xfId="0" applyNumberFormat="1" applyFont="1" applyBorder="1" applyAlignment="1">
      <alignment horizontal="right" indent="1"/>
    </xf>
    <xf numFmtId="165" fontId="3" fillId="0" borderId="10" xfId="0" applyNumberFormat="1" applyFont="1" applyBorder="1" applyAlignment="1">
      <alignment horizontal="right" indent="1"/>
    </xf>
    <xf numFmtId="0" fontId="5" fillId="0" borderId="0" xfId="0" applyFont="1"/>
    <xf numFmtId="0" fontId="1" fillId="0" borderId="5" xfId="0" applyFont="1" applyFill="1" applyBorder="1"/>
    <xf numFmtId="3" fontId="0" fillId="0" borderId="9" xfId="0" applyNumberFormat="1" applyFill="1" applyBorder="1"/>
    <xf numFmtId="3" fontId="2" fillId="0" borderId="1" xfId="0" applyNumberFormat="1" applyFont="1" applyFill="1" applyBorder="1"/>
    <xf numFmtId="3" fontId="2" fillId="0" borderId="1" xfId="0" applyNumberFormat="1" applyFont="1" applyBorder="1"/>
    <xf numFmtId="0" fontId="1" fillId="0" borderId="2" xfId="0" applyFont="1" applyFill="1" applyBorder="1"/>
    <xf numFmtId="3" fontId="2" fillId="0" borderId="0" xfId="0" applyNumberFormat="1" applyFont="1" applyBorder="1"/>
    <xf numFmtId="14" fontId="1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0" fillId="0" borderId="6" xfId="0" applyFont="1" applyBorder="1"/>
    <xf numFmtId="0" fontId="0" fillId="0" borderId="7" xfId="0" applyFont="1" applyBorder="1"/>
    <xf numFmtId="3" fontId="1" fillId="0" borderId="4" xfId="0" applyNumberFormat="1" applyFont="1" applyBorder="1"/>
    <xf numFmtId="3" fontId="0" fillId="0" borderId="4" xfId="0" applyNumberFormat="1" applyBorder="1"/>
    <xf numFmtId="3" fontId="2" fillId="0" borderId="12" xfId="0" applyNumberFormat="1" applyFont="1" applyBorder="1"/>
    <xf numFmtId="3" fontId="0" fillId="3" borderId="9" xfId="0" applyNumberFormat="1" applyFill="1" applyBorder="1"/>
    <xf numFmtId="3" fontId="0" fillId="3" borderId="0" xfId="0" applyNumberFormat="1" applyFill="1" applyBorder="1"/>
    <xf numFmtId="3" fontId="8" fillId="0" borderId="13" xfId="0" applyNumberFormat="1" applyFont="1" applyBorder="1"/>
    <xf numFmtId="14" fontId="1" fillId="0" borderId="0" xfId="0" applyNumberFormat="1" applyFont="1" applyBorder="1"/>
    <xf numFmtId="3" fontId="7" fillId="0" borderId="0" xfId="0" applyNumberFormat="1" applyFont="1" applyBorder="1"/>
    <xf numFmtId="3" fontId="8" fillId="0" borderId="12" xfId="0" applyNumberFormat="1" applyFont="1" applyBorder="1"/>
    <xf numFmtId="165" fontId="3" fillId="3" borderId="1" xfId="0" applyNumberFormat="1" applyFont="1" applyFill="1" applyBorder="1" applyAlignment="1">
      <alignment horizontal="right" indent="1"/>
    </xf>
    <xf numFmtId="165" fontId="3" fillId="3" borderId="10" xfId="0" applyNumberFormat="1" applyFont="1" applyFill="1" applyBorder="1" applyAlignment="1">
      <alignment horizontal="right" indent="1"/>
    </xf>
    <xf numFmtId="165" fontId="3" fillId="4" borderId="1" xfId="0" applyNumberFormat="1" applyFont="1" applyFill="1" applyBorder="1" applyAlignment="1">
      <alignment horizontal="right" indent="1"/>
    </xf>
    <xf numFmtId="165" fontId="3" fillId="4" borderId="10" xfId="0" applyNumberFormat="1" applyFont="1" applyFill="1" applyBorder="1" applyAlignment="1">
      <alignment horizontal="right" indent="1"/>
    </xf>
    <xf numFmtId="165" fontId="3" fillId="3" borderId="0" xfId="0" applyNumberFormat="1" applyFont="1" applyFill="1" applyBorder="1" applyAlignment="1">
      <alignment horizontal="right" indent="1"/>
    </xf>
    <xf numFmtId="165" fontId="3" fillId="3" borderId="9" xfId="0" applyNumberFormat="1" applyFont="1" applyFill="1" applyBorder="1" applyAlignment="1">
      <alignment horizontal="right" indent="1"/>
    </xf>
    <xf numFmtId="0" fontId="0" fillId="6" borderId="0" xfId="0" applyFill="1"/>
    <xf numFmtId="3" fontId="8" fillId="0" borderId="9" xfId="0" applyNumberFormat="1" applyFont="1" applyBorder="1"/>
    <xf numFmtId="3" fontId="8" fillId="0" borderId="9" xfId="0" applyNumberFormat="1" applyFont="1" applyFill="1" applyBorder="1"/>
    <xf numFmtId="10" fontId="4" fillId="7" borderId="2" xfId="0" applyNumberFormat="1" applyFont="1" applyFill="1" applyBorder="1" applyAlignment="1">
      <alignment horizontal="right" indent="1"/>
    </xf>
    <xf numFmtId="10" fontId="4" fillId="7" borderId="5" xfId="0" applyNumberFormat="1" applyFont="1" applyFill="1" applyBorder="1" applyAlignment="1">
      <alignment horizontal="right" indent="1"/>
    </xf>
    <xf numFmtId="10" fontId="4" fillId="8" borderId="2" xfId="0" applyNumberFormat="1" applyFont="1" applyFill="1" applyBorder="1" applyAlignment="1">
      <alignment horizontal="right" indent="1"/>
    </xf>
    <xf numFmtId="10" fontId="4" fillId="8" borderId="5" xfId="0" applyNumberFormat="1" applyFont="1" applyFill="1" applyBorder="1" applyAlignment="1">
      <alignment horizontal="right" indent="1"/>
    </xf>
    <xf numFmtId="3" fontId="0" fillId="0" borderId="10" xfId="0" applyNumberFormat="1" applyFill="1" applyBorder="1"/>
    <xf numFmtId="3" fontId="0" fillId="0" borderId="5" xfId="0" applyNumberFormat="1" applyFont="1" applyFill="1" applyBorder="1"/>
    <xf numFmtId="3" fontId="0" fillId="0" borderId="13" xfId="0" applyNumberFormat="1" applyFill="1" applyBorder="1"/>
    <xf numFmtId="165" fontId="3" fillId="0" borderId="10" xfId="0" applyNumberFormat="1" applyFont="1" applyFill="1" applyBorder="1" applyAlignment="1">
      <alignment horizontal="right" indent="1"/>
    </xf>
    <xf numFmtId="3" fontId="0" fillId="0" borderId="5" xfId="0" applyNumberFormat="1" applyFill="1" applyBorder="1"/>
    <xf numFmtId="3" fontId="8" fillId="0" borderId="13" xfId="0" applyNumberFormat="1" applyFont="1" applyFill="1" applyBorder="1"/>
    <xf numFmtId="10" fontId="3" fillId="5" borderId="11" xfId="0" applyNumberFormat="1" applyFont="1" applyFill="1" applyBorder="1" applyAlignment="1">
      <alignment horizontal="right" indent="1"/>
    </xf>
    <xf numFmtId="10" fontId="3" fillId="5" borderId="12" xfId="0" applyNumberFormat="1" applyFont="1" applyFill="1" applyBorder="1" applyAlignment="1">
      <alignment horizontal="right" indent="1"/>
    </xf>
    <xf numFmtId="10" fontId="3" fillId="5" borderId="13" xfId="0" applyNumberFormat="1" applyFont="1" applyFill="1" applyBorder="1" applyAlignment="1">
      <alignment horizontal="right" indent="1"/>
    </xf>
    <xf numFmtId="165" fontId="3" fillId="9" borderId="1" xfId="0" applyNumberFormat="1" applyFont="1" applyFill="1" applyBorder="1" applyAlignment="1">
      <alignment horizontal="right" indent="1"/>
    </xf>
    <xf numFmtId="165" fontId="3" fillId="9" borderId="10" xfId="0" applyNumberFormat="1" applyFont="1" applyFill="1" applyBorder="1" applyAlignment="1">
      <alignment horizontal="right" indent="1"/>
    </xf>
    <xf numFmtId="10" fontId="3" fillId="9" borderId="12" xfId="0" applyNumberFormat="1" applyFont="1" applyFill="1" applyBorder="1" applyAlignment="1">
      <alignment horizontal="right" indent="1"/>
    </xf>
    <xf numFmtId="10" fontId="3" fillId="9" borderId="13" xfId="0" applyNumberFormat="1" applyFont="1" applyFill="1" applyBorder="1" applyAlignment="1">
      <alignment horizontal="right" indent="1"/>
    </xf>
    <xf numFmtId="164" fontId="0" fillId="3" borderId="15" xfId="0" applyNumberFormat="1" applyFill="1" applyBorder="1"/>
    <xf numFmtId="164" fontId="0" fillId="3" borderId="1" xfId="0" applyNumberFormat="1" applyFill="1" applyBorder="1"/>
    <xf numFmtId="164" fontId="0" fillId="9" borderId="1" xfId="0" applyNumberFormat="1" applyFill="1" applyBorder="1"/>
    <xf numFmtId="164" fontId="0" fillId="9" borderId="10" xfId="0" applyNumberFormat="1" applyFill="1" applyBorder="1"/>
    <xf numFmtId="164" fontId="0" fillId="9" borderId="0" xfId="0" applyNumberFormat="1" applyFill="1" applyBorder="1"/>
    <xf numFmtId="164" fontId="0" fillId="9" borderId="9" xfId="0" applyNumberFormat="1" applyFill="1" applyBorder="1"/>
    <xf numFmtId="3" fontId="0" fillId="9" borderId="9" xfId="0" applyNumberFormat="1" applyFill="1" applyBorder="1"/>
    <xf numFmtId="3" fontId="0" fillId="9" borderId="10" xfId="0" applyNumberFormat="1" applyFill="1" applyBorder="1"/>
    <xf numFmtId="3" fontId="9" fillId="0" borderId="9" xfId="0" applyNumberFormat="1" applyFont="1" applyBorder="1"/>
    <xf numFmtId="10" fontId="0" fillId="3" borderId="13" xfId="0" applyNumberFormat="1" applyFill="1" applyBorder="1"/>
    <xf numFmtId="10" fontId="0" fillId="3" borderId="12" xfId="0" applyNumberFormat="1" applyFill="1" applyBorder="1"/>
    <xf numFmtId="3" fontId="0" fillId="0" borderId="2" xfId="0" applyNumberFormat="1" applyFont="1" applyFill="1" applyBorder="1"/>
    <xf numFmtId="3" fontId="8" fillId="0" borderId="12" xfId="0" applyNumberFormat="1" applyFont="1" applyFill="1" applyBorder="1"/>
    <xf numFmtId="3" fontId="8" fillId="0" borderId="0" xfId="0" applyNumberFormat="1" applyFont="1" applyFill="1" applyBorder="1"/>
    <xf numFmtId="3" fontId="0" fillId="0" borderId="1" xfId="0" applyNumberFormat="1" applyFill="1" applyBorder="1"/>
    <xf numFmtId="3" fontId="0" fillId="0" borderId="12" xfId="0" applyNumberFormat="1" applyFill="1" applyBorder="1"/>
    <xf numFmtId="0" fontId="1" fillId="0" borderId="2" xfId="0" applyFont="1" applyFill="1" applyBorder="1" applyAlignment="1">
      <alignment horizontal="right"/>
    </xf>
    <xf numFmtId="0" fontId="9" fillId="0" borderId="0" xfId="0" applyFont="1"/>
    <xf numFmtId="0" fontId="4" fillId="0" borderId="4" xfId="0" applyFont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0" fontId="4" fillId="0" borderId="5" xfId="0" applyFont="1" applyBorder="1" applyAlignment="1">
      <alignment horizontal="right" indent="1"/>
    </xf>
    <xf numFmtId="10" fontId="3" fillId="0" borderId="6" xfId="0" applyNumberFormat="1" applyFont="1" applyBorder="1" applyAlignment="1">
      <alignment horizontal="right" indent="1"/>
    </xf>
    <xf numFmtId="10" fontId="3" fillId="9" borderId="6" xfId="0" applyNumberFormat="1" applyFont="1" applyFill="1" applyBorder="1" applyAlignment="1">
      <alignment horizontal="right" indent="1"/>
    </xf>
    <xf numFmtId="165" fontId="3" fillId="9" borderId="8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5" fontId="3" fillId="3" borderId="7" xfId="0" applyNumberFormat="1" applyFont="1" applyFill="1" applyBorder="1" applyAlignment="1">
      <alignment horizontal="right" indent="1"/>
    </xf>
    <xf numFmtId="165" fontId="3" fillId="0" borderId="8" xfId="0" applyNumberFormat="1" applyFont="1" applyFill="1" applyBorder="1" applyAlignment="1">
      <alignment horizontal="right" indent="1"/>
    </xf>
    <xf numFmtId="10" fontId="3" fillId="9" borderId="11" xfId="0" applyNumberFormat="1" applyFont="1" applyFill="1" applyBorder="1" applyAlignment="1">
      <alignment horizontal="right" indent="1"/>
    </xf>
    <xf numFmtId="10" fontId="3" fillId="10" borderId="13" xfId="0" applyNumberFormat="1" applyFont="1" applyFill="1" applyBorder="1" applyAlignment="1">
      <alignment horizontal="right" indent="1"/>
    </xf>
    <xf numFmtId="10" fontId="4" fillId="10" borderId="5" xfId="0" applyNumberFormat="1" applyFont="1" applyFill="1" applyBorder="1" applyAlignment="1">
      <alignment horizontal="right" indent="1"/>
    </xf>
    <xf numFmtId="10" fontId="4" fillId="5" borderId="4" xfId="0" applyNumberFormat="1" applyFont="1" applyFill="1" applyBorder="1" applyAlignment="1">
      <alignment horizontal="right" indent="1"/>
    </xf>
    <xf numFmtId="10" fontId="4" fillId="5" borderId="2" xfId="0" applyNumberFormat="1" applyFont="1" applyFill="1" applyBorder="1" applyAlignment="1">
      <alignment horizontal="right" indent="1"/>
    </xf>
    <xf numFmtId="10" fontId="4" fillId="5" borderId="5" xfId="0" applyNumberFormat="1" applyFont="1" applyFill="1" applyBorder="1" applyAlignment="1">
      <alignment horizontal="right" indent="1"/>
    </xf>
    <xf numFmtId="10" fontId="4" fillId="10" borderId="2" xfId="0" applyNumberFormat="1" applyFont="1" applyFill="1" applyBorder="1" applyAlignment="1">
      <alignment horizontal="right" indent="1"/>
    </xf>
    <xf numFmtId="10" fontId="4" fillId="7" borderId="3" xfId="0" applyNumberFormat="1" applyFont="1" applyFill="1" applyBorder="1" applyAlignment="1">
      <alignment horizontal="right" indent="1"/>
    </xf>
    <xf numFmtId="10" fontId="4" fillId="10" borderId="3" xfId="0" applyNumberFormat="1" applyFont="1" applyFill="1" applyBorder="1" applyAlignment="1">
      <alignment horizontal="right" indent="1"/>
    </xf>
    <xf numFmtId="165" fontId="3" fillId="10" borderId="15" xfId="0" applyNumberFormat="1" applyFont="1" applyFill="1" applyBorder="1" applyAlignment="1">
      <alignment horizontal="right" indent="1"/>
    </xf>
    <xf numFmtId="165" fontId="3" fillId="10" borderId="14" xfId="0" applyNumberFormat="1" applyFont="1" applyFill="1" applyBorder="1" applyAlignment="1">
      <alignment horizontal="right" indent="1"/>
    </xf>
    <xf numFmtId="165" fontId="3" fillId="10" borderId="0" xfId="0" applyNumberFormat="1" applyFont="1" applyFill="1" applyBorder="1" applyAlignment="1">
      <alignment horizontal="right" indent="1"/>
    </xf>
    <xf numFmtId="165" fontId="3" fillId="10" borderId="9" xfId="0" applyNumberFormat="1" applyFont="1" applyFill="1" applyBorder="1" applyAlignment="1">
      <alignment horizontal="right" indent="1"/>
    </xf>
    <xf numFmtId="165" fontId="3" fillId="10" borderId="1" xfId="0" applyNumberFormat="1" applyFont="1" applyFill="1" applyBorder="1" applyAlignment="1">
      <alignment horizontal="right" indent="1"/>
    </xf>
    <xf numFmtId="0" fontId="11" fillId="0" borderId="0" xfId="0" applyFont="1"/>
    <xf numFmtId="14" fontId="1" fillId="0" borderId="2" xfId="0" applyNumberFormat="1" applyFont="1" applyBorder="1" applyAlignment="1">
      <alignment horizontal="right"/>
    </xf>
    <xf numFmtId="10" fontId="3" fillId="3" borderId="13" xfId="0" applyNumberFormat="1" applyFont="1" applyFill="1" applyBorder="1" applyAlignment="1">
      <alignment horizontal="right" indent="1"/>
    </xf>
    <xf numFmtId="10" fontId="3" fillId="3" borderId="12" xfId="0" applyNumberFormat="1" applyFont="1" applyFill="1" applyBorder="1" applyAlignment="1">
      <alignment horizontal="right" indent="1"/>
    </xf>
    <xf numFmtId="10" fontId="4" fillId="10" borderId="4" xfId="0" applyNumberFormat="1" applyFont="1" applyFill="1" applyBorder="1" applyAlignment="1">
      <alignment horizontal="right" indent="1"/>
    </xf>
    <xf numFmtId="3" fontId="0" fillId="9" borderId="0" xfId="0" applyNumberFormat="1" applyFill="1" applyBorder="1"/>
    <xf numFmtId="3" fontId="0" fillId="9" borderId="1" xfId="0" applyNumberFormat="1" applyFill="1" applyBorder="1"/>
    <xf numFmtId="3" fontId="9" fillId="0" borderId="0" xfId="0" applyNumberFormat="1" applyFont="1" applyBorder="1"/>
    <xf numFmtId="0" fontId="0" fillId="0" borderId="10" xfId="0" applyBorder="1"/>
    <xf numFmtId="0" fontId="7" fillId="0" borderId="7" xfId="0" applyFont="1" applyBorder="1"/>
    <xf numFmtId="10" fontId="7" fillId="0" borderId="14" xfId="0" applyNumberFormat="1" applyFont="1" applyBorder="1"/>
    <xf numFmtId="10" fontId="7" fillId="0" borderId="0" xfId="0" applyNumberFormat="1" applyFont="1" applyBorder="1"/>
    <xf numFmtId="10" fontId="7" fillId="0" borderId="9" xfId="0" applyNumberFormat="1" applyFont="1" applyBorder="1"/>
    <xf numFmtId="0" fontId="7" fillId="0" borderId="8" xfId="0" applyFont="1" applyBorder="1"/>
    <xf numFmtId="10" fontId="7" fillId="0" borderId="15" xfId="0" applyNumberFormat="1" applyFont="1" applyBorder="1"/>
    <xf numFmtId="10" fontId="7" fillId="0" borderId="1" xfId="0" applyNumberFormat="1" applyFont="1" applyBorder="1"/>
    <xf numFmtId="10" fontId="7" fillId="0" borderId="10" xfId="0" applyNumberFormat="1" applyFont="1" applyBorder="1"/>
    <xf numFmtId="0" fontId="7" fillId="0" borderId="0" xfId="0" applyFont="1" applyFill="1" applyBorder="1"/>
    <xf numFmtId="3" fontId="7" fillId="0" borderId="12" xfId="0" applyNumberFormat="1" applyFont="1" applyBorder="1"/>
    <xf numFmtId="0" fontId="12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CCFF99"/>
      <color rgb="FFE0FFC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'Chart Data'!$A$3</c:f>
              <c:strCache>
                <c:ptCount val="1"/>
                <c:pt idx="0">
                  <c:v>ROCE BASF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</c:spPr>
          </c:marker>
          <c:cat>
            <c:numRef>
              <c:f>'Chart Data'!$B$1:$M$1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Data'!$B$3:$M$3</c:f>
              <c:numCache>
                <c:formatCode>0.00%</c:formatCode>
                <c:ptCount val="12"/>
                <c:pt idx="0">
                  <c:v>0.23197717198183809</c:v>
                </c:pt>
                <c:pt idx="1">
                  <c:v>0.12596779719081877</c:v>
                </c:pt>
                <c:pt idx="2">
                  <c:v>0.23883674411447914</c:v>
                </c:pt>
                <c:pt idx="3">
                  <c:v>0.24078748107016659</c:v>
                </c:pt>
                <c:pt idx="4">
                  <c:v>0.18144873709848883</c:v>
                </c:pt>
                <c:pt idx="5">
                  <c:v>0.18482904603946979</c:v>
                </c:pt>
                <c:pt idx="6">
                  <c:v>0.17981184126759567</c:v>
                </c:pt>
                <c:pt idx="7">
                  <c:v>0.13695597373987572</c:v>
                </c:pt>
                <c:pt idx="8">
                  <c:v>0.13030296737753597</c:v>
                </c:pt>
                <c:pt idx="9">
                  <c:v>0.15526927051889447</c:v>
                </c:pt>
                <c:pt idx="10">
                  <c:v>0.11214532352499625</c:v>
                </c:pt>
                <c:pt idx="11">
                  <c:v>7.3907888736890109E-2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3-4BC5-A1EB-6BEACE7DC10D}"/>
            </c:ext>
          </c:extLst>
        </c:ser>
        <c:ser>
          <c:idx val="3"/>
          <c:order val="1"/>
          <c:tx>
            <c:strRef>
              <c:f>'Chart Data'!$A$5</c:f>
              <c:strCache>
                <c:ptCount val="1"/>
                <c:pt idx="0">
                  <c:v>ROCE ThyssenKrupp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8"/>
            <c:spPr>
              <a:solidFill>
                <a:srgbClr val="0070C0"/>
              </a:solidFill>
              <a:ln w="38100">
                <a:solidFill>
                  <a:srgbClr val="0070C0"/>
                </a:solidFill>
              </a:ln>
            </c:spPr>
          </c:marker>
          <c:cat>
            <c:numRef>
              <c:f>'Chart Data'!$B$1:$M$1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Data'!$B$5:$M$5</c:f>
              <c:numCache>
                <c:formatCode>0.00%</c:formatCode>
                <c:ptCount val="12"/>
                <c:pt idx="0">
                  <c:v>0.2040384999857196</c:v>
                </c:pt>
                <c:pt idx="1">
                  <c:v>-9.0988674290091373E-2</c:v>
                </c:pt>
                <c:pt idx="2">
                  <c:v>6.8824461829523953E-2</c:v>
                </c:pt>
                <c:pt idx="3">
                  <c:v>-4.8157535581984795E-2</c:v>
                </c:pt>
                <c:pt idx="4">
                  <c:v>-0.23610773428424778</c:v>
                </c:pt>
                <c:pt idx="5">
                  <c:v>-3.7405976824557839E-2</c:v>
                </c:pt>
                <c:pt idx="6">
                  <c:v>8.9656252446950122E-2</c:v>
                </c:pt>
                <c:pt idx="7">
                  <c:v>7.8784468204839614E-2</c:v>
                </c:pt>
                <c:pt idx="8">
                  <c:v>8.778362679252133E-2</c:v>
                </c:pt>
                <c:pt idx="9">
                  <c:v>5.1289653127779423E-2</c:v>
                </c:pt>
                <c:pt idx="10">
                  <c:v>6.9103040993979375E-2</c:v>
                </c:pt>
                <c:pt idx="11">
                  <c:v>1.9096848302103526E-2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3-4BC5-A1EB-6BEACE7DC10D}"/>
            </c:ext>
          </c:extLst>
        </c:ser>
        <c:ser>
          <c:idx val="5"/>
          <c:order val="2"/>
          <c:tx>
            <c:strRef>
              <c:f>'Chart Data'!$A$7</c:f>
              <c:strCache>
                <c:ptCount val="1"/>
                <c:pt idx="0">
                  <c:v>ROCE Siemens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circle"/>
            <c:size val="8"/>
            <c:spPr>
              <a:solidFill>
                <a:srgbClr val="00B050"/>
              </a:solidFill>
              <a:ln w="38100">
                <a:solidFill>
                  <a:srgbClr val="00B050"/>
                </a:solidFill>
                <a:prstDash val="solid"/>
              </a:ln>
            </c:spPr>
          </c:marker>
          <c:cat>
            <c:numRef>
              <c:f>'Chart Data'!$B$1:$M$1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Data'!$B$7:$M$7</c:f>
              <c:numCache>
                <c:formatCode>0.00%</c:formatCode>
                <c:ptCount val="12"/>
                <c:pt idx="0">
                  <c:v>8.9103423616697958E-2</c:v>
                </c:pt>
                <c:pt idx="1">
                  <c:v>0.2428869372213612</c:v>
                </c:pt>
                <c:pt idx="2">
                  <c:v>0.22124572262009387</c:v>
                </c:pt>
                <c:pt idx="3">
                  <c:v>0.30793881467404466</c:v>
                </c:pt>
                <c:pt idx="4">
                  <c:v>0.24218145556453416</c:v>
                </c:pt>
                <c:pt idx="5">
                  <c:v>0.25843430549658708</c:v>
                </c:pt>
                <c:pt idx="6">
                  <c:v>0.23618742490989186</c:v>
                </c:pt>
                <c:pt idx="7">
                  <c:v>0.26447383042560285</c:v>
                </c:pt>
                <c:pt idx="8">
                  <c:v>0.17666929532373676</c:v>
                </c:pt>
                <c:pt idx="9">
                  <c:v>0.1491367168647999</c:v>
                </c:pt>
                <c:pt idx="10">
                  <c:v>0.10976928942561756</c:v>
                </c:pt>
                <c:pt idx="11">
                  <c:v>0.1158244870258812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3-4BC5-A1EB-6BEACE7DC10D}"/>
            </c:ext>
          </c:extLst>
        </c:ser>
        <c:ser>
          <c:idx val="7"/>
          <c:order val="3"/>
          <c:tx>
            <c:strRef>
              <c:f>'Chart Data'!$A$9</c:f>
              <c:strCache>
                <c:ptCount val="1"/>
                <c:pt idx="0">
                  <c:v>ROCE VW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/>
              </a:solidFill>
              <a:ln w="38100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'Chart Data'!$B$1:$M$1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Data'!$B$9:$M$9</c:f>
              <c:numCache>
                <c:formatCode>0.00%</c:formatCode>
                <c:ptCount val="12"/>
                <c:pt idx="0">
                  <c:v>0.12404755841968151</c:v>
                </c:pt>
                <c:pt idx="1">
                  <c:v>3.4790926226356704E-2</c:v>
                </c:pt>
                <c:pt idx="2">
                  <c:v>0.14054873248307354</c:v>
                </c:pt>
                <c:pt idx="3">
                  <c:v>0.18806313822331977</c:v>
                </c:pt>
                <c:pt idx="4">
                  <c:v>0.12589510566079054</c:v>
                </c:pt>
                <c:pt idx="5">
                  <c:v>9.2735912023646824E-2</c:v>
                </c:pt>
                <c:pt idx="6">
                  <c:v>8.8768483238368237E-2</c:v>
                </c:pt>
                <c:pt idx="7">
                  <c:v>-2.7720721733413722E-2</c:v>
                </c:pt>
                <c:pt idx="8">
                  <c:v>4.7664423134994395E-2</c:v>
                </c:pt>
                <c:pt idx="9">
                  <c:v>8.4209884819306483E-2</c:v>
                </c:pt>
                <c:pt idx="10">
                  <c:v>7.6385725966208101E-2</c:v>
                </c:pt>
                <c:pt idx="11">
                  <c:v>8.5917415740297501E-2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D3-4BC5-A1EB-6BEACE7DC10D}"/>
            </c:ext>
          </c:extLst>
        </c:ser>
        <c:ser>
          <c:idx val="9"/>
          <c:order val="4"/>
          <c:tx>
            <c:strRef>
              <c:f>'Chart Data'!$A$11</c:f>
              <c:strCache>
                <c:ptCount val="1"/>
                <c:pt idx="0">
                  <c:v>ROCE SAP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8"/>
            <c:spPr>
              <a:solidFill>
                <a:srgbClr val="00B0F0"/>
              </a:solidFill>
              <a:ln w="38100">
                <a:solidFill>
                  <a:srgbClr val="00B0F0"/>
                </a:solidFill>
              </a:ln>
            </c:spPr>
          </c:marker>
          <c:cat>
            <c:numRef>
              <c:f>'Chart Data'!$B$1:$M$1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Data'!$B$11:$M$11</c:f>
              <c:numCache>
                <c:formatCode>0.00%</c:formatCode>
                <c:ptCount val="12"/>
                <c:pt idx="0">
                  <c:v>0.53657347204161243</c:v>
                </c:pt>
                <c:pt idx="1">
                  <c:v>0.39540695710908474</c:v>
                </c:pt>
                <c:pt idx="2">
                  <c:v>0.46558537304629904</c:v>
                </c:pt>
                <c:pt idx="3">
                  <c:v>0.46399391981759452</c:v>
                </c:pt>
                <c:pt idx="4">
                  <c:v>0.30224382946896033</c:v>
                </c:pt>
                <c:pt idx="5">
                  <c:v>0.27547819669106344</c:v>
                </c:pt>
                <c:pt idx="6">
                  <c:v>0.20372068957407277</c:v>
                </c:pt>
                <c:pt idx="7">
                  <c:v>0.15850885368126746</c:v>
                </c:pt>
                <c:pt idx="8">
                  <c:v>0.18160277266940161</c:v>
                </c:pt>
                <c:pt idx="9">
                  <c:v>0.17820407417557321</c:v>
                </c:pt>
                <c:pt idx="10">
                  <c:v>0.20430242347167243</c:v>
                </c:pt>
                <c:pt idx="11">
                  <c:v>0.13449800042096402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D3-4BC5-A1EB-6BEACE7DC10D}"/>
            </c:ext>
          </c:extLst>
        </c:ser>
        <c:ser>
          <c:idx val="0"/>
          <c:order val="5"/>
          <c:tx>
            <c:v>ROCE Bayer</c:v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8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val>
            <c:numRef>
              <c:f>'ROCE-Zerlegung'!$C$7:$N$7</c:f>
              <c:numCache>
                <c:formatCode>0.00%</c:formatCode>
                <c:ptCount val="12"/>
                <c:pt idx="0">
                  <c:v>0.10360603978775963</c:v>
                </c:pt>
                <c:pt idx="1">
                  <c:v>8.599259079141218E-2</c:v>
                </c:pt>
                <c:pt idx="2">
                  <c:v>8.0563056084281354E-2</c:v>
                </c:pt>
                <c:pt idx="3">
                  <c:v>0.12018597106151239</c:v>
                </c:pt>
                <c:pt idx="4">
                  <c:v>0.11297420115620237</c:v>
                </c:pt>
                <c:pt idx="5">
                  <c:v>0.14446754311480689</c:v>
                </c:pt>
                <c:pt idx="6">
                  <c:v>0.12654516454389791</c:v>
                </c:pt>
                <c:pt idx="7">
                  <c:v>0.11980496419864473</c:v>
                </c:pt>
                <c:pt idx="8">
                  <c:v>0.10255310402759533</c:v>
                </c:pt>
                <c:pt idx="9">
                  <c:v>0.1125184655706457</c:v>
                </c:pt>
                <c:pt idx="10">
                  <c:v>7.3784459673790367E-2</c:v>
                </c:pt>
                <c:pt idx="11">
                  <c:v>4.6788524581008704E-2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0-418B-B548-8662D9A46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76432"/>
        <c:axId val="297681136"/>
      </c:lineChart>
      <c:catAx>
        <c:axId val="29767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/>
          <a:lstStyle/>
          <a:p>
            <a:pPr>
              <a:defRPr sz="1200" b="1"/>
            </a:pPr>
            <a:endParaRPr lang="de-DE"/>
          </a:p>
        </c:txPr>
        <c:crossAx val="297681136"/>
        <c:crosses val="autoZero"/>
        <c:auto val="1"/>
        <c:lblAlgn val="ctr"/>
        <c:lblOffset val="100"/>
        <c:noMultiLvlLbl val="0"/>
      </c:catAx>
      <c:valAx>
        <c:axId val="29768113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sz="1200" b="1"/>
            </a:pPr>
            <a:endParaRPr lang="de-DE"/>
          </a:p>
        </c:txPr>
        <c:crossAx val="2976764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de-DE"/>
          </a:p>
        </c:txPr>
      </c:dTable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18780857567616"/>
          <c:y val="1.5480754061892397E-2"/>
          <c:w val="0.75603321451942351"/>
          <c:h val="0.7694332336382244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Data'!$A$30</c:f>
              <c:strCache>
                <c:ptCount val="1"/>
                <c:pt idx="0">
                  <c:v>m BASF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rgbClr val="FF0000"/>
                </a:solidFill>
              </a:ln>
            </c:spPr>
          </c:marker>
          <c:cat>
            <c:numRef>
              <c:f>'Chart Data'!$B$1:$M$1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Data'!$B$30:$M$30</c:f>
              <c:numCache>
                <c:formatCode>0.00%</c:formatCode>
                <c:ptCount val="12"/>
                <c:pt idx="0">
                  <c:v>0.10373330765279917</c:v>
                </c:pt>
                <c:pt idx="1">
                  <c:v>7.2534669480993436E-2</c:v>
                </c:pt>
                <c:pt idx="2">
                  <c:v>0.12150673993706261</c:v>
                </c:pt>
                <c:pt idx="3">
                  <c:v>0.11682109473856075</c:v>
                </c:pt>
                <c:pt idx="4">
                  <c:v>9.3471419262709868E-2</c:v>
                </c:pt>
                <c:pt idx="5">
                  <c:v>9.6792072783312824E-2</c:v>
                </c:pt>
                <c:pt idx="6">
                  <c:v>0.10260205042649947</c:v>
                </c:pt>
                <c:pt idx="7">
                  <c:v>8.8688270947777828E-2</c:v>
                </c:pt>
                <c:pt idx="8">
                  <c:v>0.10903562119895743</c:v>
                </c:pt>
                <c:pt idx="9">
                  <c:v>0.12392401548437679</c:v>
                </c:pt>
                <c:pt idx="10">
                  <c:v>9.9236134174692792E-2</c:v>
                </c:pt>
                <c:pt idx="11">
                  <c:v>6.8312091172702136E-2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4-0744-83EF-814B1E751FC9}"/>
            </c:ext>
          </c:extLst>
        </c:ser>
        <c:ser>
          <c:idx val="2"/>
          <c:order val="1"/>
          <c:tx>
            <c:strRef>
              <c:f>'Chart Data'!$A$31</c:f>
              <c:strCache>
                <c:ptCount val="1"/>
                <c:pt idx="0">
                  <c:v>m ThyssenKrupp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rgbClr val="0070C0"/>
                </a:solidFill>
              </a:ln>
            </c:spPr>
          </c:marker>
          <c:cat>
            <c:numRef>
              <c:f>'Chart Data'!$B$1:$M$1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Data'!$B$31:$M$31</c:f>
              <c:numCache>
                <c:formatCode>0.00%</c:formatCode>
                <c:ptCount val="12"/>
                <c:pt idx="0">
                  <c:v>6.6858832778048147E-2</c:v>
                </c:pt>
                <c:pt idx="1">
                  <c:v>-4.0997953800261319E-2</c:v>
                </c:pt>
                <c:pt idx="2">
                  <c:v>3.1580676192487271E-2</c:v>
                </c:pt>
                <c:pt idx="3">
                  <c:v>-2.0125478693066079E-2</c:v>
                </c:pt>
                <c:pt idx="4">
                  <c:v>-9.2889786374747582E-2</c:v>
                </c:pt>
                <c:pt idx="5">
                  <c:v>-1.3875622140666634E-2</c:v>
                </c:pt>
                <c:pt idx="6">
                  <c:v>2.7783169950499856E-2</c:v>
                </c:pt>
                <c:pt idx="7">
                  <c:v>2.4545327037262143E-2</c:v>
                </c:pt>
                <c:pt idx="8">
                  <c:v>3.1815789473684214E-2</c:v>
                </c:pt>
                <c:pt idx="9">
                  <c:v>2.0357132350778101E-2</c:v>
                </c:pt>
                <c:pt idx="10">
                  <c:v>2.1693070737227333E-2</c:v>
                </c:pt>
                <c:pt idx="11">
                  <c:v>6.3339365653871799E-3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4-0744-83EF-814B1E751FC9}"/>
            </c:ext>
          </c:extLst>
        </c:ser>
        <c:ser>
          <c:idx val="4"/>
          <c:order val="2"/>
          <c:tx>
            <c:strRef>
              <c:f>'Chart Data'!$A$32</c:f>
              <c:strCache>
                <c:ptCount val="1"/>
                <c:pt idx="0">
                  <c:v>m Siemens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rgbClr val="00B050"/>
                </a:solidFill>
                <a:prstDash val="solid"/>
              </a:ln>
            </c:spPr>
          </c:marker>
          <c:cat>
            <c:numRef>
              <c:f>'Chart Data'!$B$1:$M$1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Data'!$B$32:$M$32</c:f>
              <c:numCache>
                <c:formatCode>0.00%</c:formatCode>
                <c:ptCount val="12"/>
                <c:pt idx="0">
                  <c:v>3.5816433591560427E-2</c:v>
                </c:pt>
                <c:pt idx="1">
                  <c:v>9.0602829286397443E-2</c:v>
                </c:pt>
                <c:pt idx="2">
                  <c:v>8.5953391061777185E-2</c:v>
                </c:pt>
                <c:pt idx="3">
                  <c:v>0.11278062094848175</c:v>
                </c:pt>
                <c:pt idx="4">
                  <c:v>8.995350975784204E-2</c:v>
                </c:pt>
                <c:pt idx="5">
                  <c:v>0.10774048607801756</c:v>
                </c:pt>
                <c:pt idx="6">
                  <c:v>0.10350007721790894</c:v>
                </c:pt>
                <c:pt idx="7">
                  <c:v>0.12586598974033528</c:v>
                </c:pt>
                <c:pt idx="8">
                  <c:v>9.4231831650846268E-2</c:v>
                </c:pt>
                <c:pt idx="9">
                  <c:v>9.1367679181299247E-2</c:v>
                </c:pt>
                <c:pt idx="10">
                  <c:v>7.4538798709118059E-2</c:v>
                </c:pt>
                <c:pt idx="11">
                  <c:v>7.9586408594226762E-2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94-0744-83EF-814B1E751FC9}"/>
            </c:ext>
          </c:extLst>
        </c:ser>
        <c:ser>
          <c:idx val="6"/>
          <c:order val="3"/>
          <c:tx>
            <c:strRef>
              <c:f>'Chart Data'!$A$33</c:f>
              <c:strCache>
                <c:ptCount val="1"/>
                <c:pt idx="0">
                  <c:v>m VW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ysClr val="windowText" lastClr="000000"/>
                </a:solidFill>
              </a:ln>
            </c:spPr>
          </c:marker>
          <c:cat>
            <c:numRef>
              <c:f>'Chart Data'!$B$1:$M$1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Data'!$B$33:$M$33</c:f>
              <c:numCache>
                <c:formatCode>0.00%</c:formatCode>
                <c:ptCount val="12"/>
                <c:pt idx="0">
                  <c:v>5.564635175031632E-2</c:v>
                </c:pt>
                <c:pt idx="1">
                  <c:v>1.7635259109966061E-2</c:v>
                </c:pt>
                <c:pt idx="2">
                  <c:v>5.6283743842364529E-2</c:v>
                </c:pt>
                <c:pt idx="3">
                  <c:v>7.0736865888023498E-2</c:v>
                </c:pt>
                <c:pt idx="4">
                  <c:v>5.9675309846581828E-2</c:v>
                </c:pt>
                <c:pt idx="5">
                  <c:v>5.9241549792646959E-2</c:v>
                </c:pt>
                <c:pt idx="6">
                  <c:v>6.2714241966234971E-2</c:v>
                </c:pt>
                <c:pt idx="7">
                  <c:v>-1.9077133694653338E-2</c:v>
                </c:pt>
                <c:pt idx="8">
                  <c:v>3.2692493567822084E-2</c:v>
                </c:pt>
                <c:pt idx="9">
                  <c:v>6.019603572206491E-2</c:v>
                </c:pt>
                <c:pt idx="10">
                  <c:v>5.9020814164995397E-2</c:v>
                </c:pt>
                <c:pt idx="11">
                  <c:v>6.7137179771367045E-2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94-0744-83EF-814B1E751FC9}"/>
            </c:ext>
          </c:extLst>
        </c:ser>
        <c:ser>
          <c:idx val="9"/>
          <c:order val="4"/>
          <c:tx>
            <c:strRef>
              <c:f>'Chart Data'!$A$34</c:f>
              <c:strCache>
                <c:ptCount val="1"/>
                <c:pt idx="0">
                  <c:v>m SAP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38100">
                <a:solidFill>
                  <a:srgbClr val="00B0F0"/>
                </a:solidFill>
              </a:ln>
            </c:spPr>
          </c:marker>
          <c:cat>
            <c:numRef>
              <c:f>'Chart Data'!$B$1:$M$1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Data'!$B$34:$M$34</c:f>
              <c:numCache>
                <c:formatCode>0.00%</c:formatCode>
                <c:ptCount val="12"/>
                <c:pt idx="0">
                  <c:v>0.28518358531317495</c:v>
                </c:pt>
                <c:pt idx="1">
                  <c:v>0.27426911544227889</c:v>
                </c:pt>
                <c:pt idx="2">
                  <c:v>0.31667201540436457</c:v>
                </c:pt>
                <c:pt idx="3">
                  <c:v>0.34314620951310337</c:v>
                </c:pt>
                <c:pt idx="4">
                  <c:v>0.24909079701658141</c:v>
                </c:pt>
                <c:pt idx="5">
                  <c:v>0.26636931311329171</c:v>
                </c:pt>
                <c:pt idx="6">
                  <c:v>0.24664009111617313</c:v>
                </c:pt>
                <c:pt idx="7">
                  <c:v>0.20449189631125861</c:v>
                </c:pt>
                <c:pt idx="8">
                  <c:v>0.232753150213036</c:v>
                </c:pt>
                <c:pt idx="9">
                  <c:v>0.20787690209283491</c:v>
                </c:pt>
                <c:pt idx="10">
                  <c:v>0.23081593006313744</c:v>
                </c:pt>
                <c:pt idx="11">
                  <c:v>0.16234166878379849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94-0744-83EF-814B1E751FC9}"/>
            </c:ext>
          </c:extLst>
        </c:ser>
        <c:ser>
          <c:idx val="1"/>
          <c:order val="5"/>
          <c:tx>
            <c:v>m Bayer</c:v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8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val>
            <c:numRef>
              <c:f>Bayer!$C$8:$N$8</c:f>
              <c:numCache>
                <c:formatCode>0.00%</c:formatCode>
                <c:ptCount val="12"/>
                <c:pt idx="0">
                  <c:v>0.107661461814205</c:v>
                </c:pt>
                <c:pt idx="1">
                  <c:v>9.6445071868583157E-2</c:v>
                </c:pt>
                <c:pt idx="2">
                  <c:v>7.7804377564979474E-2</c:v>
                </c:pt>
                <c:pt idx="3">
                  <c:v>0.11358409986859395</c:v>
                </c:pt>
                <c:pt idx="4">
                  <c:v>9.8839988928310807E-2</c:v>
                </c:pt>
                <c:pt idx="5">
                  <c:v>0.12286774410439026</c:v>
                </c:pt>
                <c:pt idx="6">
                  <c:v>0.13050630155543191</c:v>
                </c:pt>
                <c:pt idx="7">
                  <c:v>0.13542367364652272</c:v>
                </c:pt>
                <c:pt idx="8">
                  <c:v>0.16421028532180981</c:v>
                </c:pt>
                <c:pt idx="9">
                  <c:v>0.16858489218906184</c:v>
                </c:pt>
                <c:pt idx="10">
                  <c:v>0.13611126231560611</c:v>
                </c:pt>
                <c:pt idx="11">
                  <c:v>9.6199334022275804E-2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94-0744-83EF-814B1E751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1328"/>
        <c:axId val="297556032"/>
      </c:lineChart>
      <c:catAx>
        <c:axId val="2975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/>
          <a:lstStyle/>
          <a:p>
            <a:pPr>
              <a:defRPr sz="1200" b="1"/>
            </a:pPr>
            <a:endParaRPr lang="de-DE"/>
          </a:p>
        </c:txPr>
        <c:crossAx val="297556032"/>
        <c:crosses val="autoZero"/>
        <c:auto val="1"/>
        <c:lblAlgn val="ctr"/>
        <c:lblOffset val="100"/>
        <c:noMultiLvlLbl val="0"/>
      </c:catAx>
      <c:valAx>
        <c:axId val="29755603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sz="1200" b="1"/>
            </a:pPr>
            <a:endParaRPr lang="de-DE"/>
          </a:p>
        </c:txPr>
        <c:crossAx val="29755132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C00000"/>
  </sheetPr>
  <sheetViews>
    <sheetView zoomScale="123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&amp;L&amp;9DT &lt;&amp;F/&amp;A&gt; &amp;D &amp;T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EBAEDB8-82CC-4847-B75D-8AC520E393C1}">
  <sheetPr>
    <tabColor rgb="FFC00000"/>
  </sheetPr>
  <sheetViews>
    <sheetView zoomScale="123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&amp;L&amp;9DT &lt;&amp;F/&amp;A&gt; &amp;D &amp;T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1620" cy="59944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0.00502</cdr:x>
      <cdr:y>0</cdr:y>
    </cdr:from>
    <cdr:to>
      <cdr:x>0.07358</cdr:x>
      <cdr:y>0.04124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1AC7431-83E3-7D4B-9C66-1C90591449BA}"/>
            </a:ext>
          </a:extLst>
        </cdr:cNvPr>
        <cdr:cNvSpPr txBox="1"/>
      </cdr:nvSpPr>
      <cdr:spPr>
        <a:xfrm xmlns:a="http://schemas.openxmlformats.org/drawingml/2006/main">
          <a:off x="46463" y="0"/>
          <a:ext cx="635000" cy="247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200" b="1">
              <a:solidFill>
                <a:schemeClr val="tx1">
                  <a:lumMod val="50000"/>
                  <a:lumOff val="50000"/>
                </a:schemeClr>
              </a:solidFill>
            </a:rPr>
            <a:t>ROCE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1620" cy="59944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C50494F-619E-2C4B-BC93-9DBB258931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0.13378</cdr:x>
      <cdr:y>0.04639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ECED928-B0D7-744C-9079-F3CDD2DEBE02}"/>
            </a:ext>
          </a:extLst>
        </cdr:cNvPr>
        <cdr:cNvSpPr txBox="1"/>
      </cdr:nvSpPr>
      <cdr:spPr>
        <a:xfrm xmlns:a="http://schemas.openxmlformats.org/drawingml/2006/main">
          <a:off x="0" y="0"/>
          <a:ext cx="1239024" cy="278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200" b="1">
              <a:solidFill>
                <a:schemeClr val="tx1">
                  <a:lumMod val="50000"/>
                  <a:lumOff val="50000"/>
                </a:schemeClr>
              </a:solidFill>
            </a:rPr>
            <a:t>EBITA</a:t>
          </a:r>
          <a:r>
            <a:rPr lang="de-DE" sz="1200" b="1" baseline="0">
              <a:solidFill>
                <a:schemeClr val="tx1">
                  <a:lumMod val="50000"/>
                  <a:lumOff val="50000"/>
                </a:schemeClr>
              </a:solidFill>
            </a:rPr>
            <a:t> </a:t>
          </a:r>
          <a:r>
            <a:rPr lang="de-DE" sz="1200" b="1">
              <a:solidFill>
                <a:schemeClr val="tx1">
                  <a:lumMod val="50000"/>
                  <a:lumOff val="50000"/>
                </a:schemeClr>
              </a:solidFill>
            </a:rPr>
            <a:t>Margin (m)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62"/>
  <sheetViews>
    <sheetView tabSelected="1" zoomScaleNormal="100" workbookViewId="0"/>
  </sheetViews>
  <sheetFormatPr baseColWidth="10" defaultRowHeight="15" x14ac:dyDescent="0.25"/>
  <cols>
    <col min="1" max="1" width="27.42578125" customWidth="1"/>
    <col min="3" max="11" width="11.42578125" customWidth="1"/>
  </cols>
  <sheetData>
    <row r="1" spans="1:14" x14ac:dyDescent="0.25">
      <c r="A1" s="1" t="s">
        <v>12</v>
      </c>
      <c r="B1" s="2"/>
      <c r="C1" s="31">
        <v>2008</v>
      </c>
      <c r="D1" s="11">
        <v>2009</v>
      </c>
      <c r="E1" s="11">
        <v>2010</v>
      </c>
      <c r="F1" s="11">
        <v>2011</v>
      </c>
      <c r="G1" s="79">
        <v>2012</v>
      </c>
      <c r="H1" s="79">
        <v>2013</v>
      </c>
      <c r="I1" s="79">
        <v>2014</v>
      </c>
      <c r="J1" s="79">
        <v>2015</v>
      </c>
      <c r="K1" s="79">
        <v>2016</v>
      </c>
      <c r="L1" s="75">
        <v>2017</v>
      </c>
      <c r="M1" s="138" t="s">
        <v>55</v>
      </c>
      <c r="N1" s="75">
        <v>2019</v>
      </c>
    </row>
    <row r="2" spans="1:14" x14ac:dyDescent="0.25">
      <c r="B2" s="17" t="s">
        <v>6</v>
      </c>
      <c r="C2" s="32">
        <f t="shared" ref="C2:N2" si="0">C20/B24</f>
        <v>0.16444422330580158</v>
      </c>
      <c r="D2" s="33">
        <f t="shared" si="0"/>
        <v>8.839867535519709E-2</v>
      </c>
      <c r="E2" s="33">
        <f t="shared" si="0"/>
        <v>0.27266376484496752</v>
      </c>
      <c r="F2" s="33">
        <f t="shared" si="0"/>
        <v>0.29143311117976783</v>
      </c>
      <c r="G2" s="33">
        <f t="shared" si="0"/>
        <v>0.19960606657474886</v>
      </c>
      <c r="H2" s="33">
        <f t="shared" si="0"/>
        <v>0.19993743401243499</v>
      </c>
      <c r="I2" s="33">
        <f t="shared" si="0"/>
        <v>0.19846059335814692</v>
      </c>
      <c r="J2" s="33">
        <f t="shared" si="0"/>
        <v>0.152544777442809</v>
      </c>
      <c r="K2" s="33">
        <f t="shared" si="0"/>
        <v>0.13488666983674116</v>
      </c>
      <c r="L2" s="34">
        <f t="shared" si="0"/>
        <v>0.19503807418324737</v>
      </c>
      <c r="M2" s="33">
        <f t="shared" si="0"/>
        <v>0.1432558407181494</v>
      </c>
      <c r="N2" s="34">
        <f t="shared" si="0"/>
        <v>0.23514913179539726</v>
      </c>
    </row>
    <row r="3" spans="1:14" x14ac:dyDescent="0.25">
      <c r="B3" s="17" t="s">
        <v>7</v>
      </c>
      <c r="C3" s="32">
        <f t="shared" ref="C3:J3" si="1">C20/C15</f>
        <v>5.3046353364149972E-2</v>
      </c>
      <c r="D3" s="33">
        <f t="shared" si="1"/>
        <v>3.2647505572761526E-2</v>
      </c>
      <c r="E3" s="33">
        <f t="shared" si="1"/>
        <v>7.9438886540478759E-2</v>
      </c>
      <c r="F3" s="33">
        <f t="shared" si="1"/>
        <v>8.98404016490469E-2</v>
      </c>
      <c r="G3" s="33">
        <f t="shared" si="1"/>
        <v>7.0249136962941397E-2</v>
      </c>
      <c r="H3" s="33">
        <f t="shared" si="1"/>
        <v>6.911981398618415E-2</v>
      </c>
      <c r="I3" s="33">
        <f t="shared" si="1"/>
        <v>7.3890697736996469E-2</v>
      </c>
      <c r="J3" s="33">
        <f t="shared" si="1"/>
        <v>6.1051256937642837E-2</v>
      </c>
      <c r="K3" s="33">
        <f t="shared" ref="K3" si="2">K20/K15</f>
        <v>7.3935708079930496E-2</v>
      </c>
      <c r="L3" s="34">
        <f t="shared" ref="L3" si="3">L20/L15</f>
        <v>0.10375185796187707</v>
      </c>
      <c r="M3" s="33">
        <f t="shared" ref="M3" si="4">M20/M15</f>
        <v>8.2680172700099641E-2</v>
      </c>
      <c r="N3" s="34">
        <f t="shared" ref="N3" si="5">N20/N15</f>
        <v>0.14314856025355721</v>
      </c>
    </row>
    <row r="4" spans="1:14" x14ac:dyDescent="0.25">
      <c r="B4" s="15" t="s">
        <v>11</v>
      </c>
      <c r="C4" s="35">
        <f t="shared" ref="C4:N4" si="6">C15/((B27+C27)/2)</f>
        <v>1.8754966887417219</v>
      </c>
      <c r="D4" s="36">
        <f t="shared" si="6"/>
        <v>1.4354320340926789</v>
      </c>
      <c r="E4" s="36">
        <f t="shared" si="6"/>
        <v>1.6774032590569481</v>
      </c>
      <c r="F4" s="36">
        <f t="shared" si="6"/>
        <v>1.7914736996051284</v>
      </c>
      <c r="G4" s="36">
        <f t="shared" si="6"/>
        <v>1.6893817849656287</v>
      </c>
      <c r="H4" s="36">
        <f t="shared" si="6"/>
        <v>1.6458560462787852</v>
      </c>
      <c r="I4" s="36">
        <f t="shared" si="6"/>
        <v>1.5329847683280224</v>
      </c>
      <c r="J4" s="36">
        <f t="shared" si="6"/>
        <v>1.3554792346099453</v>
      </c>
      <c r="K4" s="36">
        <f t="shared" si="6"/>
        <v>1.0449956420685649</v>
      </c>
      <c r="L4" s="37">
        <f t="shared" si="6"/>
        <v>1.0540242747697339</v>
      </c>
      <c r="M4" s="36">
        <f t="shared" si="6"/>
        <v>0.97549912930790106</v>
      </c>
      <c r="N4" s="37">
        <f t="shared" si="6"/>
        <v>0.89335361537418856</v>
      </c>
    </row>
    <row r="5" spans="1:14" x14ac:dyDescent="0.25">
      <c r="B5" s="16" t="s">
        <v>8</v>
      </c>
      <c r="C5" s="50">
        <f t="shared" ref="C5:N5" si="7">((B27+C27)/2)/B24</f>
        <v>1.6529007861478755</v>
      </c>
      <c r="D5" s="51">
        <f t="shared" si="7"/>
        <v>1.886310223266745</v>
      </c>
      <c r="E5" s="51">
        <f t="shared" si="7"/>
        <v>2.0462410661507873</v>
      </c>
      <c r="F5" s="51">
        <f t="shared" si="7"/>
        <v>1.8107428167895132</v>
      </c>
      <c r="G5" s="51">
        <f t="shared" si="7"/>
        <v>1.681918455780973</v>
      </c>
      <c r="H5" s="51">
        <f t="shared" si="7"/>
        <v>1.7575176944433581</v>
      </c>
      <c r="I5" s="51">
        <f t="shared" si="7"/>
        <v>1.7520507353738302</v>
      </c>
      <c r="J5" s="51">
        <f t="shared" si="7"/>
        <v>1.8433587515516936</v>
      </c>
      <c r="K5" s="51">
        <f t="shared" si="7"/>
        <v>1.745823426850531</v>
      </c>
      <c r="L5" s="52">
        <f t="shared" si="7"/>
        <v>1.7834991402603784</v>
      </c>
      <c r="M5" s="51">
        <f t="shared" si="7"/>
        <v>1.7761681436298768</v>
      </c>
      <c r="N5" s="52">
        <f t="shared" si="7"/>
        <v>1.8387936525519955</v>
      </c>
    </row>
    <row r="6" spans="1:14" s="9" customFormat="1" ht="11.25" x14ac:dyDescent="0.2">
      <c r="B6" s="29" t="s">
        <v>85</v>
      </c>
      <c r="C6" s="38">
        <f t="shared" ref="C6:J6" si="8">C3*C4*C5</f>
        <v>0.16444422330580158</v>
      </c>
      <c r="D6" s="39">
        <f t="shared" si="8"/>
        <v>8.8398675355197104E-2</v>
      </c>
      <c r="E6" s="39">
        <f t="shared" si="8"/>
        <v>0.27266376484496746</v>
      </c>
      <c r="F6" s="39">
        <f t="shared" si="8"/>
        <v>0.29143311117976783</v>
      </c>
      <c r="G6" s="39">
        <f t="shared" si="8"/>
        <v>0.19960606657474886</v>
      </c>
      <c r="H6" s="39">
        <f t="shared" si="8"/>
        <v>0.19993743401243499</v>
      </c>
      <c r="I6" s="39">
        <f t="shared" si="8"/>
        <v>0.19846059335814695</v>
      </c>
      <c r="J6" s="39">
        <f t="shared" si="8"/>
        <v>0.152544777442809</v>
      </c>
      <c r="K6" s="39">
        <f t="shared" ref="K6" si="9">K3*K4*K5</f>
        <v>0.13488666983674116</v>
      </c>
      <c r="L6" s="40">
        <f t="shared" ref="L6" si="10">L3*L4*L5</f>
        <v>0.19503807418324734</v>
      </c>
      <c r="M6" s="39">
        <f t="shared" ref="M6" si="11">M3*M4*M5</f>
        <v>0.1432558407181494</v>
      </c>
      <c r="N6" s="40">
        <f t="shared" ref="N6" si="12">N3*N4*N5</f>
        <v>0.23514913179539723</v>
      </c>
    </row>
    <row r="7" spans="1:14" x14ac:dyDescent="0.25">
      <c r="B7" s="20" t="s">
        <v>9</v>
      </c>
      <c r="C7" s="44">
        <f t="shared" ref="C7:N7" si="13">C17/((B30+C30)/2)</f>
        <v>0.23197717198183809</v>
      </c>
      <c r="D7" s="45">
        <f t="shared" si="13"/>
        <v>0.12596779719081877</v>
      </c>
      <c r="E7" s="45">
        <f t="shared" si="13"/>
        <v>0.23883674411447914</v>
      </c>
      <c r="F7" s="45">
        <f t="shared" si="13"/>
        <v>0.24078748107016659</v>
      </c>
      <c r="G7" s="45">
        <f t="shared" si="13"/>
        <v>0.18144873709848883</v>
      </c>
      <c r="H7" s="45">
        <f t="shared" si="13"/>
        <v>0.18482904603946979</v>
      </c>
      <c r="I7" s="45">
        <f t="shared" si="13"/>
        <v>0.17981184126759567</v>
      </c>
      <c r="J7" s="45">
        <f t="shared" si="13"/>
        <v>0.13695597373987572</v>
      </c>
      <c r="K7" s="45">
        <f t="shared" si="13"/>
        <v>0.13030296737753597</v>
      </c>
      <c r="L7" s="46">
        <f t="shared" si="13"/>
        <v>0.15526927051889447</v>
      </c>
      <c r="M7" s="45">
        <f t="shared" si="13"/>
        <v>0.11214532352499625</v>
      </c>
      <c r="N7" s="46">
        <f t="shared" si="13"/>
        <v>7.3907888736890109E-2</v>
      </c>
    </row>
    <row r="8" spans="1:14" x14ac:dyDescent="0.25">
      <c r="B8" s="17" t="s">
        <v>10</v>
      </c>
      <c r="C8" s="32">
        <f t="shared" ref="C8:J8" si="14">C17/C15</f>
        <v>0.10373330765279917</v>
      </c>
      <c r="D8" s="33">
        <f t="shared" si="14"/>
        <v>7.2534669480993436E-2</v>
      </c>
      <c r="E8" s="33">
        <f t="shared" si="14"/>
        <v>0.12150673993706261</v>
      </c>
      <c r="F8" s="33">
        <f t="shared" si="14"/>
        <v>0.11682109473856075</v>
      </c>
      <c r="G8" s="33">
        <f t="shared" si="14"/>
        <v>9.3471419262709868E-2</v>
      </c>
      <c r="H8" s="33">
        <f t="shared" si="14"/>
        <v>9.6792072783312824E-2</v>
      </c>
      <c r="I8" s="33">
        <f t="shared" si="14"/>
        <v>0.10260205042649947</v>
      </c>
      <c r="J8" s="33">
        <f t="shared" si="14"/>
        <v>8.8688270947777828E-2</v>
      </c>
      <c r="K8" s="33">
        <f t="shared" ref="K8" si="15">K17/K15</f>
        <v>0.10903562119895743</v>
      </c>
      <c r="L8" s="34">
        <f t="shared" ref="L8" si="16">L17/L15</f>
        <v>0.12392401548437679</v>
      </c>
      <c r="M8" s="33">
        <f t="shared" ref="M8" si="17">M17/M15</f>
        <v>9.9236134174692792E-2</v>
      </c>
      <c r="N8" s="34">
        <f t="shared" ref="N8" si="18">N17/N15</f>
        <v>6.8312091172702136E-2</v>
      </c>
    </row>
    <row r="9" spans="1:14" x14ac:dyDescent="0.25">
      <c r="B9" s="16" t="s">
        <v>30</v>
      </c>
      <c r="C9" s="47">
        <f t="shared" ref="C9:N9" si="19">C15/((B30+C30)/2)</f>
        <v>2.2362843452199352</v>
      </c>
      <c r="D9" s="48">
        <f t="shared" si="19"/>
        <v>1.7366563891743747</v>
      </c>
      <c r="E9" s="48">
        <f t="shared" si="19"/>
        <v>1.9656254808432065</v>
      </c>
      <c r="F9" s="48">
        <f t="shared" si="19"/>
        <v>2.0611643950866565</v>
      </c>
      <c r="G9" s="48">
        <f t="shared" si="19"/>
        <v>1.941221589762222</v>
      </c>
      <c r="H9" s="48">
        <f t="shared" si="19"/>
        <v>1.9095473495359914</v>
      </c>
      <c r="I9" s="48">
        <f t="shared" si="19"/>
        <v>1.7525170356747071</v>
      </c>
      <c r="J9" s="48">
        <f t="shared" si="19"/>
        <v>1.5442399798336275</v>
      </c>
      <c r="K9" s="48">
        <f t="shared" si="19"/>
        <v>1.19504952551031</v>
      </c>
      <c r="L9" s="49">
        <f t="shared" si="19"/>
        <v>1.2529393105283084</v>
      </c>
      <c r="M9" s="48">
        <f t="shared" si="19"/>
        <v>1.1300855727368262</v>
      </c>
      <c r="N9" s="49">
        <f t="shared" si="19"/>
        <v>1.0819151846785227</v>
      </c>
    </row>
    <row r="10" spans="1:14" s="9" customFormat="1" ht="11.25" x14ac:dyDescent="0.2">
      <c r="B10" s="30" t="s">
        <v>85</v>
      </c>
      <c r="C10" s="41">
        <f t="shared" ref="C10:J10" si="20">C8*C9</f>
        <v>0.23197717198183809</v>
      </c>
      <c r="D10" s="42">
        <f t="shared" si="20"/>
        <v>0.12596779719081877</v>
      </c>
      <c r="E10" s="42">
        <f t="shared" si="20"/>
        <v>0.23883674411447914</v>
      </c>
      <c r="F10" s="42">
        <f t="shared" si="20"/>
        <v>0.24078748107016656</v>
      </c>
      <c r="G10" s="42">
        <f t="shared" si="20"/>
        <v>0.18144873709848883</v>
      </c>
      <c r="H10" s="42">
        <f t="shared" si="20"/>
        <v>0.18482904603946976</v>
      </c>
      <c r="I10" s="42">
        <f t="shared" si="20"/>
        <v>0.17981184126759567</v>
      </c>
      <c r="J10" s="42">
        <f t="shared" si="20"/>
        <v>0.13695597373987572</v>
      </c>
      <c r="K10" s="42">
        <f t="shared" ref="K10" si="21">K8*K9</f>
        <v>0.13030296737753597</v>
      </c>
      <c r="L10" s="43">
        <f t="shared" ref="L10" si="22">L8*L9</f>
        <v>0.15526927051889447</v>
      </c>
      <c r="M10" s="42">
        <f t="shared" ref="M10" si="23">M8*M9</f>
        <v>0.11214532352499623</v>
      </c>
      <c r="N10" s="43">
        <f t="shared" ref="N10" si="24">N8*N9</f>
        <v>7.3907888736890109E-2</v>
      </c>
    </row>
    <row r="11" spans="1:14" x14ac:dyDescent="0.25">
      <c r="B11" s="20" t="s">
        <v>28</v>
      </c>
      <c r="C11" s="44">
        <f t="shared" ref="C11:G11" si="25">(C19+C21)/((B27+C27)/2)</f>
        <v>0.19798314268512943</v>
      </c>
      <c r="D11" s="45">
        <f t="shared" si="25"/>
        <v>0.10796958842434624</v>
      </c>
      <c r="E11" s="45">
        <f t="shared" si="25"/>
        <v>0.21392649395328073</v>
      </c>
      <c r="F11" s="45">
        <f t="shared" si="25"/>
        <v>0.23723979915175741</v>
      </c>
      <c r="G11" s="45">
        <f t="shared" si="25"/>
        <v>0.15760443138035624</v>
      </c>
      <c r="H11" s="45">
        <f t="shared" ref="H11:N11" si="26">(H19+H21)/((G27+H27)/2)</f>
        <v>0.16215374346423406</v>
      </c>
      <c r="I11" s="45">
        <f t="shared" si="26"/>
        <v>0.16322742319710423</v>
      </c>
      <c r="J11" s="45">
        <f t="shared" si="26"/>
        <v>0.11902219400271292</v>
      </c>
      <c r="K11" s="45">
        <f t="shared" si="26"/>
        <v>0.10996513654851831</v>
      </c>
      <c r="L11" s="46">
        <f t="shared" si="26"/>
        <v>0.12660755788930017</v>
      </c>
      <c r="M11" s="45">
        <f t="shared" si="26"/>
        <v>9.346778439233791E-2</v>
      </c>
      <c r="N11" s="46">
        <f t="shared" si="26"/>
        <v>5.9490639637333011E-2</v>
      </c>
    </row>
    <row r="12" spans="1:14" x14ac:dyDescent="0.25">
      <c r="B12" s="20" t="s">
        <v>29</v>
      </c>
      <c r="C12" s="44">
        <f t="shared" ref="C12:N12" si="27">C20/((B27+C27)/2)</f>
        <v>9.9488260084286573E-2</v>
      </c>
      <c r="D12" s="45">
        <f t="shared" si="27"/>
        <v>4.6863275332361141E-2</v>
      </c>
      <c r="E12" s="45">
        <f t="shared" si="27"/>
        <v>0.13325104717885422</v>
      </c>
      <c r="F12" s="45">
        <f t="shared" si="27"/>
        <v>0.16094671671622873</v>
      </c>
      <c r="G12" s="45">
        <f t="shared" si="27"/>
        <v>0.11867761239474886</v>
      </c>
      <c r="H12" s="45">
        <f t="shared" si="27"/>
        <v>0.11376126376682612</v>
      </c>
      <c r="I12" s="45">
        <f t="shared" si="27"/>
        <v>0.11327331415194547</v>
      </c>
      <c r="J12" s="45">
        <f t="shared" si="27"/>
        <v>8.2753711025811236E-2</v>
      </c>
      <c r="K12" s="45">
        <f t="shared" si="27"/>
        <v>7.7262492736780944E-2</v>
      </c>
      <c r="L12" s="46">
        <f t="shared" si="27"/>
        <v>0.10935697684427993</v>
      </c>
      <c r="M12" s="45">
        <f t="shared" si="27"/>
        <v>8.0654436479974084E-2</v>
      </c>
      <c r="N12" s="46">
        <f t="shared" si="27"/>
        <v>0.12788228383812522</v>
      </c>
    </row>
    <row r="13" spans="1:14" s="6" customFormat="1" x14ac:dyDescent="0.25">
      <c r="A13"/>
      <c r="B13"/>
      <c r="C13"/>
      <c r="D13"/>
      <c r="E13"/>
      <c r="F13"/>
      <c r="G13"/>
      <c r="H13"/>
      <c r="I13" s="2"/>
      <c r="J13" s="2"/>
      <c r="K13" s="2"/>
      <c r="L13" s="2"/>
      <c r="M13" s="2"/>
      <c r="N13" s="2"/>
    </row>
    <row r="14" spans="1:14" x14ac:dyDescent="0.25">
      <c r="A14" s="82" t="s">
        <v>63</v>
      </c>
      <c r="B14" s="12"/>
      <c r="C14" s="11">
        <v>2008</v>
      </c>
      <c r="D14" s="11">
        <v>2009</v>
      </c>
      <c r="E14" s="11">
        <v>2010</v>
      </c>
      <c r="F14" s="11">
        <v>2011</v>
      </c>
      <c r="G14" s="79">
        <v>2012</v>
      </c>
      <c r="H14" s="79">
        <v>2013</v>
      </c>
      <c r="I14" s="79">
        <v>2014</v>
      </c>
      <c r="J14" s="79">
        <v>2015</v>
      </c>
      <c r="K14" s="79">
        <v>2016</v>
      </c>
      <c r="L14" s="75">
        <f>L1</f>
        <v>2017</v>
      </c>
      <c r="M14" s="138" t="str">
        <f>M1</f>
        <v>2018*</v>
      </c>
      <c r="N14" s="75">
        <f>N1</f>
        <v>2019</v>
      </c>
    </row>
    <row r="15" spans="1:14" x14ac:dyDescent="0.25">
      <c r="A15" s="23" t="s">
        <v>64</v>
      </c>
      <c r="B15" s="24"/>
      <c r="C15" s="24">
        <v>62304</v>
      </c>
      <c r="D15" s="24">
        <v>50693</v>
      </c>
      <c r="E15" s="24">
        <v>63873</v>
      </c>
      <c r="F15" s="24">
        <v>73497</v>
      </c>
      <c r="G15" s="24">
        <v>72129</v>
      </c>
      <c r="H15" s="24">
        <v>73973</v>
      </c>
      <c r="I15" s="24">
        <v>74326</v>
      </c>
      <c r="J15" s="24">
        <v>70449</v>
      </c>
      <c r="K15" s="24">
        <v>57550</v>
      </c>
      <c r="L15" s="25">
        <v>61223</v>
      </c>
      <c r="M15" s="133">
        <v>60220</v>
      </c>
      <c r="N15" s="110">
        <v>59316</v>
      </c>
    </row>
    <row r="16" spans="1:14" x14ac:dyDescent="0.25">
      <c r="A16" s="15" t="s">
        <v>0</v>
      </c>
      <c r="B16" s="3"/>
      <c r="C16" s="3">
        <v>9562</v>
      </c>
      <c r="D16" s="3">
        <v>7388</v>
      </c>
      <c r="E16" s="3">
        <v>11121</v>
      </c>
      <c r="F16" s="3">
        <v>11993</v>
      </c>
      <c r="G16" s="59">
        <v>10009</v>
      </c>
      <c r="H16" s="56">
        <v>10432</v>
      </c>
      <c r="I16" s="56">
        <v>11043</v>
      </c>
      <c r="J16" s="56">
        <v>10649</v>
      </c>
      <c r="K16" s="56">
        <v>10526</v>
      </c>
      <c r="L16" s="57">
        <v>10765</v>
      </c>
      <c r="M16" s="137">
        <v>8970</v>
      </c>
      <c r="N16" s="111">
        <v>8036</v>
      </c>
    </row>
    <row r="17" spans="1:14" x14ac:dyDescent="0.25">
      <c r="A17" s="15" t="s">
        <v>1</v>
      </c>
      <c r="B17" s="3"/>
      <c r="C17" s="3">
        <v>6463</v>
      </c>
      <c r="D17" s="3">
        <v>3677</v>
      </c>
      <c r="E17" s="3">
        <v>7761</v>
      </c>
      <c r="F17" s="3">
        <v>8586</v>
      </c>
      <c r="G17" s="59">
        <v>6742</v>
      </c>
      <c r="H17" s="5">
        <f t="shared" ref="H17:N17" si="28">H18</f>
        <v>7160</v>
      </c>
      <c r="I17" s="5">
        <f t="shared" si="28"/>
        <v>7626</v>
      </c>
      <c r="J17" s="5">
        <f t="shared" si="28"/>
        <v>6248</v>
      </c>
      <c r="K17" s="5">
        <f t="shared" si="28"/>
        <v>6275</v>
      </c>
      <c r="L17" s="76">
        <f t="shared" si="28"/>
        <v>7587</v>
      </c>
      <c r="M17" s="5">
        <f>M18+2</f>
        <v>5976</v>
      </c>
      <c r="N17" s="76">
        <f t="shared" si="28"/>
        <v>4052</v>
      </c>
    </row>
    <row r="18" spans="1:14" x14ac:dyDescent="0.25">
      <c r="A18" s="15" t="s">
        <v>2</v>
      </c>
      <c r="B18" s="3"/>
      <c r="C18" s="3">
        <v>6463</v>
      </c>
      <c r="D18" s="3">
        <v>3677</v>
      </c>
      <c r="E18" s="3">
        <v>7761</v>
      </c>
      <c r="F18" s="3">
        <v>8586</v>
      </c>
      <c r="G18" s="59">
        <v>6742</v>
      </c>
      <c r="H18" s="5">
        <v>7160</v>
      </c>
      <c r="I18" s="5">
        <v>7626</v>
      </c>
      <c r="J18" s="5">
        <v>6248</v>
      </c>
      <c r="K18" s="5">
        <v>6275</v>
      </c>
      <c r="L18" s="76">
        <v>7587</v>
      </c>
      <c r="M18" s="5">
        <v>5974</v>
      </c>
      <c r="N18" s="76">
        <v>4052</v>
      </c>
    </row>
    <row r="19" spans="1:14" x14ac:dyDescent="0.25">
      <c r="A19" s="15" t="s">
        <v>3</v>
      </c>
      <c r="B19" s="3"/>
      <c r="C19" s="3">
        <v>5976</v>
      </c>
      <c r="D19" s="3">
        <v>3079</v>
      </c>
      <c r="E19" s="3">
        <v>7373</v>
      </c>
      <c r="F19" s="3">
        <v>8970</v>
      </c>
      <c r="G19" s="59">
        <v>5977</v>
      </c>
      <c r="H19" s="59">
        <v>6600</v>
      </c>
      <c r="I19" s="59">
        <v>7203</v>
      </c>
      <c r="J19" s="59">
        <v>5548</v>
      </c>
      <c r="K19" s="59">
        <v>5395</v>
      </c>
      <c r="L19" s="26">
        <v>6862</v>
      </c>
      <c r="M19" s="5">
        <v>5233</v>
      </c>
      <c r="N19" s="76">
        <v>3302</v>
      </c>
    </row>
    <row r="20" spans="1:14" x14ac:dyDescent="0.25">
      <c r="A20" s="16" t="s">
        <v>4</v>
      </c>
      <c r="B20" s="4"/>
      <c r="C20" s="4">
        <v>3305</v>
      </c>
      <c r="D20" s="4">
        <v>1655</v>
      </c>
      <c r="E20" s="4">
        <v>5074</v>
      </c>
      <c r="F20" s="4">
        <v>6603</v>
      </c>
      <c r="G20" s="4">
        <v>5067</v>
      </c>
      <c r="H20" s="4">
        <v>5113</v>
      </c>
      <c r="I20" s="4">
        <v>5492</v>
      </c>
      <c r="J20" s="4">
        <v>4301</v>
      </c>
      <c r="K20" s="4">
        <v>4255</v>
      </c>
      <c r="L20" s="27">
        <v>6352</v>
      </c>
      <c r="M20" s="136">
        <v>4979</v>
      </c>
      <c r="N20" s="109">
        <v>8491</v>
      </c>
    </row>
    <row r="21" spans="1:14" x14ac:dyDescent="0.25">
      <c r="A21" s="16" t="s">
        <v>65</v>
      </c>
      <c r="B21" s="4"/>
      <c r="C21" s="4">
        <v>601</v>
      </c>
      <c r="D21" s="4">
        <v>734</v>
      </c>
      <c r="E21" s="4">
        <v>773</v>
      </c>
      <c r="F21" s="4">
        <v>763</v>
      </c>
      <c r="G21" s="4">
        <v>752</v>
      </c>
      <c r="H21" s="4">
        <v>688</v>
      </c>
      <c r="I21" s="4">
        <v>711</v>
      </c>
      <c r="J21" s="4">
        <v>638</v>
      </c>
      <c r="K21" s="4">
        <v>661</v>
      </c>
      <c r="L21" s="27">
        <v>492</v>
      </c>
      <c r="M21" s="136">
        <v>537</v>
      </c>
      <c r="N21" s="109">
        <v>648</v>
      </c>
    </row>
    <row r="22" spans="1:14" x14ac:dyDescent="0.25">
      <c r="A22" s="16"/>
      <c r="B22" s="13">
        <v>39447</v>
      </c>
      <c r="C22" s="13">
        <v>39813</v>
      </c>
      <c r="D22" s="13">
        <v>40178</v>
      </c>
      <c r="E22" s="13">
        <v>40543</v>
      </c>
      <c r="F22" s="13">
        <v>40908</v>
      </c>
      <c r="G22" s="13">
        <v>41274</v>
      </c>
      <c r="H22" s="13">
        <v>41639</v>
      </c>
      <c r="I22" s="13">
        <v>42004</v>
      </c>
      <c r="J22" s="13">
        <v>42369</v>
      </c>
      <c r="K22" s="13">
        <v>42735</v>
      </c>
      <c r="L22" s="14">
        <v>43100</v>
      </c>
      <c r="M22" s="164" t="s">
        <v>62</v>
      </c>
      <c r="N22" s="14">
        <v>43830</v>
      </c>
    </row>
    <row r="23" spans="1:14" x14ac:dyDescent="0.25">
      <c r="A23" s="20" t="s">
        <v>66</v>
      </c>
      <c r="B23" s="21">
        <v>46802</v>
      </c>
      <c r="C23" s="21">
        <v>50860</v>
      </c>
      <c r="D23" s="21">
        <v>51268</v>
      </c>
      <c r="E23" s="21">
        <v>59393</v>
      </c>
      <c r="F23" s="21">
        <v>61175</v>
      </c>
      <c r="G23" s="21">
        <v>62671</v>
      </c>
      <c r="H23" s="21">
        <v>64204</v>
      </c>
      <c r="I23" s="21">
        <v>71359</v>
      </c>
      <c r="J23" s="21">
        <v>70836</v>
      </c>
      <c r="K23" s="21">
        <v>76496</v>
      </c>
      <c r="L23" s="22">
        <v>78768</v>
      </c>
      <c r="M23" s="21">
        <v>86556</v>
      </c>
      <c r="N23" s="22">
        <v>86950</v>
      </c>
    </row>
    <row r="24" spans="1:14" x14ac:dyDescent="0.25">
      <c r="A24" s="15" t="s">
        <v>67</v>
      </c>
      <c r="B24" s="3">
        <v>20098</v>
      </c>
      <c r="C24" s="3">
        <v>18722</v>
      </c>
      <c r="D24" s="3">
        <v>18609</v>
      </c>
      <c r="E24" s="3">
        <v>22657</v>
      </c>
      <c r="F24" s="3">
        <v>25385</v>
      </c>
      <c r="G24" s="59">
        <v>25573</v>
      </c>
      <c r="H24" s="59">
        <v>27673</v>
      </c>
      <c r="I24" s="59">
        <v>28195</v>
      </c>
      <c r="J24" s="59">
        <v>31545</v>
      </c>
      <c r="K24" s="59">
        <v>32568</v>
      </c>
      <c r="L24" s="26">
        <v>34756</v>
      </c>
      <c r="M24" s="5">
        <v>36109</v>
      </c>
      <c r="N24" s="76">
        <v>42350</v>
      </c>
    </row>
    <row r="25" spans="1:14" x14ac:dyDescent="0.25">
      <c r="A25" s="15" t="s">
        <v>68</v>
      </c>
      <c r="B25" s="3">
        <f>6954+3148</f>
        <v>10102</v>
      </c>
      <c r="C25" s="3">
        <f>8290+6224</f>
        <v>14514</v>
      </c>
      <c r="D25" s="3">
        <f>12444+2375</f>
        <v>14819</v>
      </c>
      <c r="E25" s="3">
        <f>11670+3369</f>
        <v>15039</v>
      </c>
      <c r="F25" s="3">
        <f>9019+3985</f>
        <v>13004</v>
      </c>
      <c r="G25" s="59">
        <v>12798</v>
      </c>
      <c r="H25" s="59">
        <v>14677</v>
      </c>
      <c r="I25" s="59">
        <v>15384</v>
      </c>
      <c r="J25" s="59">
        <v>15197</v>
      </c>
      <c r="K25" s="59">
        <f>12545+3767</f>
        <v>16312</v>
      </c>
      <c r="L25" s="26">
        <f>15535+2497</f>
        <v>18032</v>
      </c>
      <c r="M25" s="5">
        <f>15332+5509</f>
        <v>20841</v>
      </c>
      <c r="N25" s="76">
        <f>15015+3362</f>
        <v>18377</v>
      </c>
    </row>
    <row r="26" spans="1:14" s="1" customFormat="1" x14ac:dyDescent="0.25">
      <c r="A26" s="15" t="s">
        <v>69</v>
      </c>
      <c r="B26" s="3">
        <v>1292</v>
      </c>
      <c r="C26" s="3">
        <v>1712</v>
      </c>
      <c r="D26" s="3">
        <v>2255</v>
      </c>
      <c r="E26" s="3">
        <v>2778</v>
      </c>
      <c r="F26" s="3">
        <v>3189</v>
      </c>
      <c r="G26" s="59">
        <v>5442</v>
      </c>
      <c r="H26" s="59">
        <v>3727</v>
      </c>
      <c r="I26" s="59">
        <v>7313</v>
      </c>
      <c r="J26" s="59">
        <v>6313</v>
      </c>
      <c r="K26" s="59">
        <v>8209</v>
      </c>
      <c r="L26" s="26">
        <v>6293</v>
      </c>
      <c r="M26" s="5">
        <v>7434</v>
      </c>
      <c r="N26" s="76">
        <v>7683</v>
      </c>
    </row>
    <row r="27" spans="1:14" x14ac:dyDescent="0.25">
      <c r="A27" s="18" t="s">
        <v>70</v>
      </c>
      <c r="B27" s="10">
        <f t="shared" ref="B27:J27" si="29">SUM(B24:B26)</f>
        <v>31492</v>
      </c>
      <c r="C27" s="10">
        <f t="shared" si="29"/>
        <v>34948</v>
      </c>
      <c r="D27" s="10">
        <f t="shared" si="29"/>
        <v>35683</v>
      </c>
      <c r="E27" s="10">
        <f t="shared" si="29"/>
        <v>40474</v>
      </c>
      <c r="F27" s="10">
        <f t="shared" si="29"/>
        <v>41578</v>
      </c>
      <c r="G27" s="10">
        <f t="shared" si="29"/>
        <v>43813</v>
      </c>
      <c r="H27" s="10">
        <f t="shared" si="29"/>
        <v>46077</v>
      </c>
      <c r="I27" s="10">
        <f t="shared" si="29"/>
        <v>50892</v>
      </c>
      <c r="J27" s="10">
        <f t="shared" si="29"/>
        <v>53055</v>
      </c>
      <c r="K27" s="10">
        <f t="shared" ref="K27" si="30">SUM(K24:K26)</f>
        <v>57089</v>
      </c>
      <c r="L27" s="28">
        <f t="shared" ref="L27" si="31">SUM(L24:L26)</f>
        <v>59081</v>
      </c>
      <c r="M27" s="10">
        <f t="shared" ref="M27" si="32">SUM(M24:M26)</f>
        <v>64384</v>
      </c>
      <c r="N27" s="28">
        <f t="shared" ref="N27" si="33">SUM(N24:N26)</f>
        <v>68410</v>
      </c>
    </row>
    <row r="28" spans="1:14" x14ac:dyDescent="0.25">
      <c r="A28" s="15" t="s">
        <v>71</v>
      </c>
      <c r="B28" s="3">
        <v>767</v>
      </c>
      <c r="C28" s="3">
        <v>2776</v>
      </c>
      <c r="D28" s="3">
        <v>1835</v>
      </c>
      <c r="E28" s="3">
        <v>1493</v>
      </c>
      <c r="F28" s="3">
        <v>2048</v>
      </c>
      <c r="G28" s="59">
        <v>1654</v>
      </c>
      <c r="H28" s="59">
        <v>1827</v>
      </c>
      <c r="I28" s="59">
        <v>1718</v>
      </c>
      <c r="J28" s="59">
        <v>2241</v>
      </c>
      <c r="K28" s="59">
        <v>1375</v>
      </c>
      <c r="L28" s="26">
        <v>6495</v>
      </c>
      <c r="M28" s="5">
        <v>2300</v>
      </c>
      <c r="N28" s="76">
        <v>2427</v>
      </c>
    </row>
    <row r="29" spans="1:14" x14ac:dyDescent="0.25">
      <c r="A29" s="15" t="s">
        <v>72</v>
      </c>
      <c r="B29" s="3">
        <f t="shared" ref="B29:J29" si="34">B35</f>
        <v>3441</v>
      </c>
      <c r="C29" s="3">
        <f t="shared" si="34"/>
        <v>3735</v>
      </c>
      <c r="D29" s="3">
        <f t="shared" si="34"/>
        <v>3905</v>
      </c>
      <c r="E29" s="3">
        <f t="shared" si="34"/>
        <v>3934</v>
      </c>
      <c r="F29" s="3">
        <f t="shared" si="34"/>
        <v>3261</v>
      </c>
      <c r="G29" s="59">
        <f t="shared" si="34"/>
        <v>4115</v>
      </c>
      <c r="H29" s="59">
        <f t="shared" si="34"/>
        <v>4817</v>
      </c>
      <c r="I29" s="59">
        <f t="shared" si="34"/>
        <v>3785</v>
      </c>
      <c r="J29" s="59">
        <f t="shared" si="34"/>
        <v>4962</v>
      </c>
      <c r="K29" s="59">
        <f t="shared" ref="K29" si="35">K35</f>
        <v>5252</v>
      </c>
      <c r="L29" s="26">
        <f t="shared" ref="L29" si="36">L35</f>
        <v>5321</v>
      </c>
      <c r="M29" s="59">
        <f t="shared" ref="M29" si="37">M35</f>
        <v>2773</v>
      </c>
      <c r="N29" s="26">
        <f t="shared" ref="N29" si="38">N35</f>
        <v>15644</v>
      </c>
    </row>
    <row r="30" spans="1:14" x14ac:dyDescent="0.25">
      <c r="A30" s="18" t="s">
        <v>73</v>
      </c>
      <c r="B30" s="10">
        <f>SUM(B24:B26)-B28-B29</f>
        <v>27284</v>
      </c>
      <c r="C30" s="10">
        <f>SUM(C24:C26)-C28-C29</f>
        <v>28437</v>
      </c>
      <c r="D30" s="10">
        <f t="shared" ref="D30:I30" si="39">SUM(D24:D26)-D28-D29</f>
        <v>29943</v>
      </c>
      <c r="E30" s="10">
        <f t="shared" si="39"/>
        <v>35047</v>
      </c>
      <c r="F30" s="10">
        <f t="shared" si="39"/>
        <v>36269</v>
      </c>
      <c r="G30" s="10">
        <f t="shared" si="39"/>
        <v>38044</v>
      </c>
      <c r="H30" s="10">
        <f t="shared" si="39"/>
        <v>39433</v>
      </c>
      <c r="I30" s="10">
        <f t="shared" si="39"/>
        <v>45389</v>
      </c>
      <c r="J30" s="10">
        <f t="shared" ref="J30" si="40">SUM(J24:J26)-J28-J29</f>
        <v>45852</v>
      </c>
      <c r="K30" s="10">
        <f t="shared" ref="K30" si="41">SUM(K24:K26)-K28-K29</f>
        <v>50462</v>
      </c>
      <c r="L30" s="28">
        <f t="shared" ref="L30" si="42">SUM(L24:L26)-L28-L29</f>
        <v>47265</v>
      </c>
      <c r="M30" s="10">
        <f t="shared" ref="M30" si="43">SUM(M24:M26)-M28-M29</f>
        <v>59311</v>
      </c>
      <c r="N30" s="28">
        <f t="shared" ref="N30" si="44">SUM(N24:N26)-N28-N29</f>
        <v>50339</v>
      </c>
    </row>
    <row r="31" spans="1:14" x14ac:dyDescent="0.25">
      <c r="B31" s="13">
        <v>39447</v>
      </c>
      <c r="C31" s="13">
        <v>39813</v>
      </c>
      <c r="D31" s="13">
        <v>40178</v>
      </c>
      <c r="E31" s="13">
        <v>40543</v>
      </c>
      <c r="F31" s="13">
        <v>40908</v>
      </c>
      <c r="G31" s="13">
        <v>41274</v>
      </c>
      <c r="H31" s="13">
        <v>41639</v>
      </c>
      <c r="I31" s="13">
        <v>42004</v>
      </c>
      <c r="J31" s="13">
        <v>42369</v>
      </c>
      <c r="K31" s="13">
        <v>42735</v>
      </c>
      <c r="L31" s="14">
        <f>L22</f>
        <v>43100</v>
      </c>
      <c r="M31" s="164" t="str">
        <f>M22</f>
        <v>31.12.2018*</v>
      </c>
      <c r="N31" s="14">
        <f>N22</f>
        <v>43830</v>
      </c>
    </row>
    <row r="32" spans="1:14" x14ac:dyDescent="0.25">
      <c r="A32" s="17" t="s">
        <v>74</v>
      </c>
      <c r="B32" s="3">
        <v>9559</v>
      </c>
      <c r="C32" s="3">
        <v>9889</v>
      </c>
      <c r="D32" s="3">
        <v>10449</v>
      </c>
      <c r="E32" s="3">
        <v>12245</v>
      </c>
      <c r="F32" s="3">
        <f>11919-5962</f>
        <v>5957</v>
      </c>
      <c r="G32" s="59">
        <f>12284-G33</f>
        <v>5836</v>
      </c>
      <c r="H32" s="59">
        <f>12324-H33</f>
        <v>5388</v>
      </c>
      <c r="I32" s="59">
        <f>12967-I33</f>
        <v>4826</v>
      </c>
      <c r="J32" s="59">
        <f>12537-J33</f>
        <v>4174</v>
      </c>
      <c r="K32" s="59">
        <f>15162-K33</f>
        <v>5089</v>
      </c>
      <c r="L32" s="26">
        <f>13594-L33</f>
        <v>4241</v>
      </c>
      <c r="M32" s="5">
        <f>16554-M33</f>
        <v>7343</v>
      </c>
      <c r="N32" s="76">
        <f>14525-N33</f>
        <v>6420</v>
      </c>
    </row>
    <row r="33" spans="1:14" x14ac:dyDescent="0.25">
      <c r="A33" s="15" t="s">
        <v>5</v>
      </c>
      <c r="B33" s="3">
        <v>4305</v>
      </c>
      <c r="C33" s="3">
        <v>4748</v>
      </c>
      <c r="D33" s="3">
        <v>5069</v>
      </c>
      <c r="E33" s="3">
        <v>5873</v>
      </c>
      <c r="F33" s="3">
        <v>5962</v>
      </c>
      <c r="G33" s="59">
        <v>6448</v>
      </c>
      <c r="H33" s="59">
        <v>6936</v>
      </c>
      <c r="I33" s="59">
        <v>8141</v>
      </c>
      <c r="J33" s="59">
        <v>8363</v>
      </c>
      <c r="K33" s="59">
        <v>10073</v>
      </c>
      <c r="L33" s="26">
        <v>9353</v>
      </c>
      <c r="M33" s="5">
        <v>9211</v>
      </c>
      <c r="N33" s="76">
        <v>8105</v>
      </c>
    </row>
    <row r="34" spans="1:14" x14ac:dyDescent="0.25">
      <c r="A34" s="15" t="s">
        <v>75</v>
      </c>
      <c r="B34" s="3">
        <v>14215</v>
      </c>
      <c r="C34" s="3">
        <v>15032</v>
      </c>
      <c r="D34" s="3">
        <v>16285</v>
      </c>
      <c r="E34" s="3">
        <v>17241</v>
      </c>
      <c r="F34" s="3">
        <v>17966</v>
      </c>
      <c r="G34" s="59">
        <v>17507</v>
      </c>
      <c r="H34" s="59">
        <v>19229</v>
      </c>
      <c r="I34" s="59">
        <v>23496</v>
      </c>
      <c r="J34" s="59">
        <v>25260</v>
      </c>
      <c r="K34" s="59">
        <v>26413</v>
      </c>
      <c r="L34" s="26">
        <v>25258</v>
      </c>
      <c r="M34" s="5">
        <v>20780</v>
      </c>
      <c r="N34" s="76">
        <v>21792</v>
      </c>
    </row>
    <row r="35" spans="1:14" x14ac:dyDescent="0.25">
      <c r="A35" s="15" t="s">
        <v>72</v>
      </c>
      <c r="B35" s="3">
        <v>3441</v>
      </c>
      <c r="C35" s="3">
        <v>3735</v>
      </c>
      <c r="D35" s="3">
        <v>3905</v>
      </c>
      <c r="E35" s="3">
        <v>3934</v>
      </c>
      <c r="F35" s="3">
        <v>3261</v>
      </c>
      <c r="G35" s="59">
        <v>4115</v>
      </c>
      <c r="H35" s="59">
        <v>4817</v>
      </c>
      <c r="I35" s="59">
        <v>3785</v>
      </c>
      <c r="J35" s="59">
        <v>4962</v>
      </c>
      <c r="K35" s="59">
        <f>4647+605</f>
        <v>5252</v>
      </c>
      <c r="L35" s="26">
        <f>4715+606</f>
        <v>5321</v>
      </c>
      <c r="M35" s="5">
        <f>2203+570</f>
        <v>2773</v>
      </c>
      <c r="N35" s="76">
        <f>15008+636</f>
        <v>15644</v>
      </c>
    </row>
    <row r="36" spans="1:14" x14ac:dyDescent="0.25">
      <c r="A36" s="15" t="s">
        <v>76</v>
      </c>
      <c r="B36" s="3">
        <v>6578</v>
      </c>
      <c r="C36" s="3">
        <v>6763</v>
      </c>
      <c r="D36" s="3">
        <v>6776</v>
      </c>
      <c r="E36" s="3">
        <v>8688</v>
      </c>
      <c r="F36" s="3">
        <v>10059</v>
      </c>
      <c r="G36" s="59">
        <v>10269</v>
      </c>
      <c r="H36" s="59">
        <v>10160</v>
      </c>
      <c r="I36" s="59">
        <v>11266</v>
      </c>
      <c r="J36" s="59">
        <v>9693</v>
      </c>
      <c r="K36" s="59">
        <v>10005</v>
      </c>
      <c r="L36" s="26">
        <v>10303</v>
      </c>
      <c r="M36" s="5">
        <v>12166</v>
      </c>
      <c r="N36" s="76">
        <v>11223</v>
      </c>
    </row>
    <row r="37" spans="1:14" x14ac:dyDescent="0.25">
      <c r="A37" s="15" t="s">
        <v>77</v>
      </c>
      <c r="B37" s="3">
        <v>8561</v>
      </c>
      <c r="C37" s="3">
        <v>7752</v>
      </c>
      <c r="D37" s="3">
        <v>7738</v>
      </c>
      <c r="E37" s="3">
        <v>10167</v>
      </c>
      <c r="F37" s="3">
        <v>10886</v>
      </c>
      <c r="G37" s="59">
        <v>10829</v>
      </c>
      <c r="H37" s="59">
        <v>10233</v>
      </c>
      <c r="I37" s="59">
        <v>10385</v>
      </c>
      <c r="J37" s="59">
        <v>9516</v>
      </c>
      <c r="K37" s="59">
        <v>10952</v>
      </c>
      <c r="L37" s="26">
        <v>10801</v>
      </c>
      <c r="M37" s="5">
        <v>10665</v>
      </c>
      <c r="N37" s="76">
        <v>9093</v>
      </c>
    </row>
    <row r="38" spans="1:14" x14ac:dyDescent="0.25">
      <c r="A38" s="15" t="s">
        <v>78</v>
      </c>
      <c r="B38" s="3">
        <v>679</v>
      </c>
      <c r="C38" s="3">
        <v>930</v>
      </c>
      <c r="D38" s="3">
        <v>1042</v>
      </c>
      <c r="E38" s="3">
        <v>1112</v>
      </c>
      <c r="F38" s="3">
        <v>941</v>
      </c>
      <c r="G38" s="59">
        <v>1516</v>
      </c>
      <c r="H38" s="59">
        <v>1006</v>
      </c>
      <c r="I38" s="59">
        <v>2193</v>
      </c>
      <c r="J38" s="59">
        <v>1791</v>
      </c>
      <c r="K38" s="59">
        <v>2513</v>
      </c>
      <c r="L38" s="26">
        <v>2118</v>
      </c>
      <c r="M38" s="5">
        <v>2342</v>
      </c>
      <c r="N38" s="76">
        <v>2887</v>
      </c>
    </row>
    <row r="39" spans="1:14" x14ac:dyDescent="0.25">
      <c r="A39" s="15" t="s">
        <v>79</v>
      </c>
      <c r="B39" s="59">
        <f t="shared" ref="B39:I39" si="45">B41-B40-SUM(B32:B38)</f>
        <v>-1303</v>
      </c>
      <c r="C39" s="59">
        <f t="shared" si="45"/>
        <v>-765</v>
      </c>
      <c r="D39" s="59">
        <f t="shared" si="45"/>
        <v>-1831</v>
      </c>
      <c r="E39" s="59">
        <f t="shared" si="45"/>
        <v>-1360</v>
      </c>
      <c r="F39" s="59">
        <f t="shared" si="45"/>
        <v>4095</v>
      </c>
      <c r="G39" s="59">
        <f t="shared" si="45"/>
        <v>4497</v>
      </c>
      <c r="H39" s="59">
        <f t="shared" si="45"/>
        <v>4608</v>
      </c>
      <c r="I39" s="59">
        <f t="shared" si="45"/>
        <v>5549</v>
      </c>
      <c r="J39" s="59">
        <f t="shared" ref="J39" si="46">J41-J40-SUM(J32:J38)</f>
        <v>4836</v>
      </c>
      <c r="K39" s="59">
        <f t="shared" ref="K39" si="47">K41-K40-SUM(K32:K38)</f>
        <v>4824</v>
      </c>
      <c r="L39" s="26">
        <f t="shared" ref="L39" si="48">L41-L40-SUM(L32:L38)</f>
        <v>4878</v>
      </c>
      <c r="M39" s="59">
        <f t="shared" ref="M39" si="49">M41-M40-SUM(M32:M38)</f>
        <v>18976</v>
      </c>
      <c r="N39" s="26">
        <f t="shared" ref="N39" si="50">N41-N40-SUM(N32:N38)</f>
        <v>9359</v>
      </c>
    </row>
    <row r="40" spans="1:14" x14ac:dyDescent="0.25">
      <c r="A40" s="15" t="s">
        <v>71</v>
      </c>
      <c r="B40" s="59">
        <f t="shared" ref="B40:J40" si="51">B28</f>
        <v>767</v>
      </c>
      <c r="C40" s="59">
        <f t="shared" si="51"/>
        <v>2776</v>
      </c>
      <c r="D40" s="59">
        <f t="shared" si="51"/>
        <v>1835</v>
      </c>
      <c r="E40" s="59">
        <f t="shared" si="51"/>
        <v>1493</v>
      </c>
      <c r="F40" s="59">
        <f t="shared" si="51"/>
        <v>2048</v>
      </c>
      <c r="G40" s="4">
        <f t="shared" si="51"/>
        <v>1654</v>
      </c>
      <c r="H40" s="4">
        <f t="shared" si="51"/>
        <v>1827</v>
      </c>
      <c r="I40" s="4">
        <f t="shared" si="51"/>
        <v>1718</v>
      </c>
      <c r="J40" s="4">
        <f t="shared" si="51"/>
        <v>2241</v>
      </c>
      <c r="K40" s="4">
        <f t="shared" ref="K40" si="52">K28</f>
        <v>1375</v>
      </c>
      <c r="L40" s="27">
        <f t="shared" ref="L40" si="53">L28</f>
        <v>6495</v>
      </c>
      <c r="M40" s="4">
        <f t="shared" ref="M40" si="54">M28</f>
        <v>2300</v>
      </c>
      <c r="N40" s="27">
        <f t="shared" ref="N40" si="55">N28</f>
        <v>2427</v>
      </c>
    </row>
    <row r="41" spans="1:14" x14ac:dyDescent="0.25">
      <c r="A41" s="18" t="s">
        <v>80</v>
      </c>
      <c r="B41" s="10">
        <f t="shared" ref="B41:J41" si="56">B23</f>
        <v>46802</v>
      </c>
      <c r="C41" s="10">
        <f t="shared" si="56"/>
        <v>50860</v>
      </c>
      <c r="D41" s="10">
        <f t="shared" si="56"/>
        <v>51268</v>
      </c>
      <c r="E41" s="10">
        <f t="shared" si="56"/>
        <v>59393</v>
      </c>
      <c r="F41" s="10">
        <f t="shared" si="56"/>
        <v>61175</v>
      </c>
      <c r="G41" s="10">
        <f t="shared" si="56"/>
        <v>62671</v>
      </c>
      <c r="H41" s="10">
        <f t="shared" si="56"/>
        <v>64204</v>
      </c>
      <c r="I41" s="10">
        <f t="shared" si="56"/>
        <v>71359</v>
      </c>
      <c r="J41" s="10">
        <f t="shared" si="56"/>
        <v>70836</v>
      </c>
      <c r="K41" s="10">
        <f t="shared" ref="K41" si="57">K23</f>
        <v>76496</v>
      </c>
      <c r="L41" s="28">
        <f t="shared" ref="L41" si="58">L23</f>
        <v>78768</v>
      </c>
      <c r="M41" s="10">
        <f t="shared" ref="M41" si="59">M23</f>
        <v>86556</v>
      </c>
      <c r="N41" s="28">
        <f t="shared" ref="N41" si="60">N23</f>
        <v>86950</v>
      </c>
    </row>
    <row r="42" spans="1:14" s="1" customFormat="1" x14ac:dyDescent="0.25">
      <c r="A42" s="19" t="s">
        <v>81</v>
      </c>
      <c r="B42" s="5">
        <f>3015+2697</f>
        <v>5712</v>
      </c>
      <c r="C42" s="3">
        <f>2757+3043</f>
        <v>5800</v>
      </c>
      <c r="D42" s="3">
        <f>3289+3276</f>
        <v>6565</v>
      </c>
      <c r="E42" s="3">
        <f>3352+3324</f>
        <v>6676</v>
      </c>
      <c r="F42" s="3">
        <f>3335+3210</f>
        <v>6545</v>
      </c>
      <c r="G42" s="59">
        <v>5992</v>
      </c>
      <c r="H42" s="59">
        <v>5896</v>
      </c>
      <c r="I42" s="59">
        <v>6346</v>
      </c>
      <c r="J42" s="59">
        <v>5909</v>
      </c>
      <c r="K42" s="59">
        <f>3667+2802</f>
        <v>6469</v>
      </c>
      <c r="L42" s="26">
        <f>3478+3229</f>
        <v>6707</v>
      </c>
      <c r="M42" s="5">
        <f>1860+3252</f>
        <v>5112</v>
      </c>
      <c r="N42" s="76">
        <f>2280-N44+2938</f>
        <v>4278</v>
      </c>
    </row>
    <row r="43" spans="1:14" s="9" customFormat="1" x14ac:dyDescent="0.25">
      <c r="A43" s="19" t="s">
        <v>82</v>
      </c>
      <c r="B43" s="5">
        <v>3763</v>
      </c>
      <c r="C43" s="3">
        <v>2734</v>
      </c>
      <c r="D43" s="3">
        <v>2786</v>
      </c>
      <c r="E43" s="3">
        <v>4738</v>
      </c>
      <c r="F43" s="3">
        <v>5121</v>
      </c>
      <c r="G43" s="59">
        <v>5781</v>
      </c>
      <c r="H43" s="59">
        <v>5153</v>
      </c>
      <c r="I43" s="59">
        <v>4861</v>
      </c>
      <c r="J43" s="59">
        <v>4020</v>
      </c>
      <c r="K43" s="59">
        <v>4610</v>
      </c>
      <c r="L43" s="26">
        <v>4971</v>
      </c>
      <c r="M43" s="5">
        <v>5122</v>
      </c>
      <c r="N43" s="76">
        <v>5087</v>
      </c>
    </row>
    <row r="44" spans="1:14" s="9" customFormat="1" x14ac:dyDescent="0.25">
      <c r="A44" s="19" t="s">
        <v>83</v>
      </c>
      <c r="B44" s="5">
        <v>2060</v>
      </c>
      <c r="C44" s="3">
        <v>2167</v>
      </c>
      <c r="D44" s="3">
        <v>2093</v>
      </c>
      <c r="E44" s="3">
        <v>2467</v>
      </c>
      <c r="F44" s="3">
        <v>2628</v>
      </c>
      <c r="G44" s="59">
        <v>2290</v>
      </c>
      <c r="H44" s="59">
        <v>2894</v>
      </c>
      <c r="I44" s="59">
        <v>3420</v>
      </c>
      <c r="J44" s="59">
        <v>3381</v>
      </c>
      <c r="K44" s="59">
        <v>3317</v>
      </c>
      <c r="L44" s="26">
        <v>2731</v>
      </c>
      <c r="M44" s="5">
        <v>1787</v>
      </c>
      <c r="N44" s="76">
        <v>940</v>
      </c>
    </row>
    <row r="45" spans="1:14" x14ac:dyDescent="0.25">
      <c r="A45" s="19" t="s">
        <v>84</v>
      </c>
      <c r="B45" s="5">
        <f t="shared" ref="B45:I45" si="61">B41-SUM(B42:B44)-SUM(B24:B26)</f>
        <v>3775</v>
      </c>
      <c r="C45" s="5">
        <f t="shared" si="61"/>
        <v>5211</v>
      </c>
      <c r="D45" s="5">
        <f t="shared" si="61"/>
        <v>4141</v>
      </c>
      <c r="E45" s="5">
        <f t="shared" si="61"/>
        <v>5038</v>
      </c>
      <c r="F45" s="5">
        <f t="shared" si="61"/>
        <v>5303</v>
      </c>
      <c r="G45" s="5">
        <f t="shared" si="61"/>
        <v>4795</v>
      </c>
      <c r="H45" s="5">
        <f t="shared" si="61"/>
        <v>4184</v>
      </c>
      <c r="I45" s="5">
        <f t="shared" si="61"/>
        <v>5840</v>
      </c>
      <c r="J45" s="5">
        <f t="shared" ref="J45" si="62">J41-SUM(J42:J44)-SUM(J24:J26)</f>
        <v>4471</v>
      </c>
      <c r="K45" s="5">
        <f t="shared" ref="K45" si="63">K41-SUM(K42:K44)-SUM(K24:K26)</f>
        <v>5011</v>
      </c>
      <c r="L45" s="76">
        <f t="shared" ref="L45" si="64">L41-SUM(L42:L44)-SUM(L24:L26)</f>
        <v>5278</v>
      </c>
      <c r="M45" s="5">
        <f t="shared" ref="M45" si="65">M41-SUM(M42:M44)-SUM(M24:M26)</f>
        <v>10151</v>
      </c>
      <c r="N45" s="76">
        <f t="shared" ref="N45" si="66">N41-SUM(N42:N44)-SUM(N24:N26)</f>
        <v>8235</v>
      </c>
    </row>
    <row r="46" spans="1:14" x14ac:dyDescent="0.25">
      <c r="A46" s="18" t="s">
        <v>70</v>
      </c>
      <c r="B46" s="10">
        <f>B41-SUM(B42:B45)</f>
        <v>31492</v>
      </c>
      <c r="C46" s="10">
        <f t="shared" ref="C46:J46" si="67">C41-SUM(C42:C45)</f>
        <v>34948</v>
      </c>
      <c r="D46" s="10">
        <f t="shared" si="67"/>
        <v>35683</v>
      </c>
      <c r="E46" s="10">
        <f t="shared" si="67"/>
        <v>40474</v>
      </c>
      <c r="F46" s="10">
        <f t="shared" si="67"/>
        <v>41578</v>
      </c>
      <c r="G46" s="10">
        <f t="shared" si="67"/>
        <v>43813</v>
      </c>
      <c r="H46" s="10">
        <f t="shared" si="67"/>
        <v>46077</v>
      </c>
      <c r="I46" s="10">
        <f t="shared" si="67"/>
        <v>50892</v>
      </c>
      <c r="J46" s="10">
        <f t="shared" si="67"/>
        <v>53055</v>
      </c>
      <c r="K46" s="10">
        <f t="shared" ref="K46" si="68">K41-SUM(K42:K45)</f>
        <v>57089</v>
      </c>
      <c r="L46" s="28">
        <f t="shared" ref="L46" si="69">L41-SUM(L42:L45)</f>
        <v>59081</v>
      </c>
      <c r="M46" s="10">
        <f t="shared" ref="M46" si="70">M41-SUM(M42:M45)</f>
        <v>64384</v>
      </c>
      <c r="N46" s="28">
        <f t="shared" ref="N46" si="71">N41-SUM(N42:N45)</f>
        <v>68410</v>
      </c>
    </row>
    <row r="47" spans="1:14" x14ac:dyDescent="0.25">
      <c r="A47" s="18" t="s">
        <v>73</v>
      </c>
      <c r="B47" s="10">
        <f>SUM(B32:B39)-SUM(B42:B45)-B35</f>
        <v>27284</v>
      </c>
      <c r="C47" s="10">
        <f t="shared" ref="C47:I47" si="72">SUM(C32:C39)-SUM(C42:C45)-C35</f>
        <v>28437</v>
      </c>
      <c r="D47" s="10">
        <f t="shared" si="72"/>
        <v>29943</v>
      </c>
      <c r="E47" s="10">
        <f t="shared" si="72"/>
        <v>35047</v>
      </c>
      <c r="F47" s="10">
        <f t="shared" si="72"/>
        <v>36269</v>
      </c>
      <c r="G47" s="10">
        <f t="shared" si="72"/>
        <v>38044</v>
      </c>
      <c r="H47" s="10">
        <f t="shared" si="72"/>
        <v>39433</v>
      </c>
      <c r="I47" s="10">
        <f t="shared" si="72"/>
        <v>45389</v>
      </c>
      <c r="J47" s="10">
        <f t="shared" ref="J47" si="73">SUM(J32:J39)-SUM(J42:J45)-J35</f>
        <v>45852</v>
      </c>
      <c r="K47" s="10">
        <f t="shared" ref="K47" si="74">SUM(K32:K39)-SUM(K42:K45)-K35</f>
        <v>50462</v>
      </c>
      <c r="L47" s="28">
        <f t="shared" ref="L47" si="75">SUM(L32:L39)-SUM(L42:L45)-L35</f>
        <v>47265</v>
      </c>
      <c r="M47" s="10">
        <f t="shared" ref="M47" si="76">SUM(M32:M39)-SUM(M42:M45)-M35</f>
        <v>59311</v>
      </c>
      <c r="N47" s="28">
        <f t="shared" ref="N47" si="77">SUM(N32:N39)-SUM(N42:N45)-N35</f>
        <v>50339</v>
      </c>
    </row>
    <row r="48" spans="1:14" s="1" customFormat="1" x14ac:dyDescent="0.25">
      <c r="A48" s="7" t="s">
        <v>85</v>
      </c>
      <c r="B48" s="8">
        <f t="shared" ref="B48:J48" si="78">B30-B47</f>
        <v>0</v>
      </c>
      <c r="C48" s="8">
        <f t="shared" si="78"/>
        <v>0</v>
      </c>
      <c r="D48" s="8">
        <f t="shared" si="78"/>
        <v>0</v>
      </c>
      <c r="E48" s="8">
        <f t="shared" si="78"/>
        <v>0</v>
      </c>
      <c r="F48" s="8">
        <f t="shared" si="78"/>
        <v>0</v>
      </c>
      <c r="G48" s="80">
        <f t="shared" si="78"/>
        <v>0</v>
      </c>
      <c r="H48" s="89">
        <f t="shared" si="78"/>
        <v>0</v>
      </c>
      <c r="I48" s="89">
        <f t="shared" si="78"/>
        <v>0</v>
      </c>
      <c r="J48" s="89">
        <f t="shared" si="78"/>
        <v>0</v>
      </c>
      <c r="K48" s="89">
        <f t="shared" ref="K48" si="79">K30-K47</f>
        <v>0</v>
      </c>
      <c r="L48" s="89">
        <f t="shared" ref="L48" si="80">L30-L47</f>
        <v>0</v>
      </c>
      <c r="M48" s="89">
        <f t="shared" ref="M48" si="81">M30-M47</f>
        <v>0</v>
      </c>
      <c r="N48" s="89">
        <f t="shared" ref="N48" si="82">N30-N47</f>
        <v>0</v>
      </c>
    </row>
    <row r="49" spans="1:14" x14ac:dyDescent="0.25">
      <c r="A49" s="7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x14ac:dyDescent="0.25">
      <c r="A50" s="171"/>
      <c r="B50" s="81">
        <f t="shared" ref="B50:K50" si="83">B31</f>
        <v>39447</v>
      </c>
      <c r="C50" s="81">
        <f t="shared" si="83"/>
        <v>39813</v>
      </c>
      <c r="D50" s="81">
        <f t="shared" si="83"/>
        <v>40178</v>
      </c>
      <c r="E50" s="81">
        <f t="shared" si="83"/>
        <v>40543</v>
      </c>
      <c r="F50" s="81">
        <f t="shared" si="83"/>
        <v>40908</v>
      </c>
      <c r="G50" s="81">
        <f t="shared" si="83"/>
        <v>41274</v>
      </c>
      <c r="H50" s="81">
        <f t="shared" si="83"/>
        <v>41639</v>
      </c>
      <c r="I50" s="81">
        <f t="shared" si="83"/>
        <v>42004</v>
      </c>
      <c r="J50" s="81">
        <f t="shared" si="83"/>
        <v>42369</v>
      </c>
      <c r="K50" s="93">
        <f t="shared" si="83"/>
        <v>42735</v>
      </c>
      <c r="L50" s="81">
        <f>L22</f>
        <v>43100</v>
      </c>
      <c r="M50" s="93" t="str">
        <f>M22</f>
        <v>31.12.2018*</v>
      </c>
      <c r="N50" s="81">
        <f>N22</f>
        <v>43830</v>
      </c>
    </row>
    <row r="51" spans="1:14" x14ac:dyDescent="0.25">
      <c r="A51" s="85" t="s">
        <v>86</v>
      </c>
      <c r="B51" s="55">
        <f t="shared" ref="B51:N51" si="84">SUM(B32:B35)</f>
        <v>31520</v>
      </c>
      <c r="C51" s="56">
        <f t="shared" si="84"/>
        <v>33404</v>
      </c>
      <c r="D51" s="56">
        <f t="shared" si="84"/>
        <v>35708</v>
      </c>
      <c r="E51" s="56">
        <f t="shared" si="84"/>
        <v>39293</v>
      </c>
      <c r="F51" s="56">
        <f t="shared" si="84"/>
        <v>33146</v>
      </c>
      <c r="G51" s="56">
        <f t="shared" si="84"/>
        <v>33906</v>
      </c>
      <c r="H51" s="56">
        <f t="shared" si="84"/>
        <v>36370</v>
      </c>
      <c r="I51" s="56">
        <f t="shared" si="84"/>
        <v>40248</v>
      </c>
      <c r="J51" s="56">
        <f t="shared" si="84"/>
        <v>42759</v>
      </c>
      <c r="K51" s="56">
        <f t="shared" si="84"/>
        <v>46827</v>
      </c>
      <c r="L51" s="57">
        <f t="shared" si="84"/>
        <v>44173</v>
      </c>
      <c r="M51" s="56">
        <f t="shared" si="84"/>
        <v>40107</v>
      </c>
      <c r="N51" s="57">
        <f t="shared" si="84"/>
        <v>51961</v>
      </c>
    </row>
    <row r="52" spans="1:14" x14ac:dyDescent="0.25">
      <c r="A52" s="86" t="s">
        <v>87</v>
      </c>
      <c r="B52" s="58">
        <f t="shared" ref="B52:N52" si="85">B36+B37-B43</f>
        <v>11376</v>
      </c>
      <c r="C52" s="59">
        <f t="shared" si="85"/>
        <v>11781</v>
      </c>
      <c r="D52" s="59">
        <f t="shared" si="85"/>
        <v>11728</v>
      </c>
      <c r="E52" s="59">
        <f t="shared" si="85"/>
        <v>14117</v>
      </c>
      <c r="F52" s="59">
        <f t="shared" si="85"/>
        <v>15824</v>
      </c>
      <c r="G52" s="59">
        <f t="shared" si="85"/>
        <v>15317</v>
      </c>
      <c r="H52" s="59">
        <f t="shared" si="85"/>
        <v>15240</v>
      </c>
      <c r="I52" s="59">
        <f t="shared" si="85"/>
        <v>16790</v>
      </c>
      <c r="J52" s="59">
        <f t="shared" si="85"/>
        <v>15189</v>
      </c>
      <c r="K52" s="59">
        <f t="shared" si="85"/>
        <v>16347</v>
      </c>
      <c r="L52" s="26">
        <f t="shared" si="85"/>
        <v>16133</v>
      </c>
      <c r="M52" s="59">
        <f t="shared" si="85"/>
        <v>17709</v>
      </c>
      <c r="N52" s="26">
        <f t="shared" si="85"/>
        <v>15229</v>
      </c>
    </row>
    <row r="53" spans="1:14" x14ac:dyDescent="0.25">
      <c r="A53" s="86" t="s">
        <v>88</v>
      </c>
      <c r="B53" s="58">
        <f>B55-B51-B52-B54</f>
        <v>-12171</v>
      </c>
      <c r="C53" s="59">
        <f t="shared" ref="C53:J53" si="86">C55-C51-C52-C54</f>
        <v>-13013</v>
      </c>
      <c r="D53" s="59">
        <f t="shared" si="86"/>
        <v>-13588</v>
      </c>
      <c r="E53" s="59">
        <f t="shared" si="86"/>
        <v>-14429</v>
      </c>
      <c r="F53" s="59">
        <f t="shared" si="86"/>
        <v>-9440</v>
      </c>
      <c r="G53" s="59">
        <f t="shared" si="86"/>
        <v>-7064</v>
      </c>
      <c r="H53" s="59">
        <f t="shared" si="86"/>
        <v>-7360</v>
      </c>
      <c r="I53" s="59">
        <f t="shared" si="86"/>
        <v>-7864</v>
      </c>
      <c r="J53" s="59">
        <f t="shared" si="86"/>
        <v>-7134</v>
      </c>
      <c r="K53" s="59">
        <f t="shared" ref="K53" si="87">K55-K51-K52-K54</f>
        <v>-7460</v>
      </c>
      <c r="L53" s="26">
        <f t="shared" ref="L53" si="88">L55-L51-L52-L54</f>
        <v>-7720</v>
      </c>
      <c r="M53" s="59">
        <f t="shared" ref="M53" si="89">M55-M51-M52-M54</f>
        <v>4268</v>
      </c>
      <c r="N53" s="26">
        <f t="shared" ref="N53" si="90">N55-N51-N52-N54</f>
        <v>-1207</v>
      </c>
    </row>
    <row r="54" spans="1:14" x14ac:dyDescent="0.25">
      <c r="A54" s="86" t="s">
        <v>71</v>
      </c>
      <c r="B54" s="58">
        <f t="shared" ref="B54:N54" si="91">B28</f>
        <v>767</v>
      </c>
      <c r="C54" s="59">
        <f t="shared" si="91"/>
        <v>2776</v>
      </c>
      <c r="D54" s="59">
        <f t="shared" si="91"/>
        <v>1835</v>
      </c>
      <c r="E54" s="59">
        <f t="shared" si="91"/>
        <v>1493</v>
      </c>
      <c r="F54" s="59">
        <f t="shared" si="91"/>
        <v>2048</v>
      </c>
      <c r="G54" s="59">
        <f t="shared" si="91"/>
        <v>1654</v>
      </c>
      <c r="H54" s="59">
        <f t="shared" si="91"/>
        <v>1827</v>
      </c>
      <c r="I54" s="59">
        <f t="shared" si="91"/>
        <v>1718</v>
      </c>
      <c r="J54" s="59">
        <f t="shared" si="91"/>
        <v>2241</v>
      </c>
      <c r="K54" s="59">
        <f t="shared" si="91"/>
        <v>1375</v>
      </c>
      <c r="L54" s="26">
        <f t="shared" si="91"/>
        <v>6495</v>
      </c>
      <c r="M54" s="59">
        <f t="shared" si="91"/>
        <v>2300</v>
      </c>
      <c r="N54" s="26">
        <f t="shared" si="91"/>
        <v>2427</v>
      </c>
    </row>
    <row r="55" spans="1:14" x14ac:dyDescent="0.25">
      <c r="A55" s="18" t="s">
        <v>89</v>
      </c>
      <c r="B55" s="87">
        <f t="shared" ref="B55:N55" si="92">B27</f>
        <v>31492</v>
      </c>
      <c r="C55" s="10">
        <f t="shared" si="92"/>
        <v>34948</v>
      </c>
      <c r="D55" s="10">
        <f t="shared" si="92"/>
        <v>35683</v>
      </c>
      <c r="E55" s="10">
        <f t="shared" si="92"/>
        <v>40474</v>
      </c>
      <c r="F55" s="10">
        <f t="shared" si="92"/>
        <v>41578</v>
      </c>
      <c r="G55" s="10">
        <f t="shared" si="92"/>
        <v>43813</v>
      </c>
      <c r="H55" s="10">
        <f t="shared" si="92"/>
        <v>46077</v>
      </c>
      <c r="I55" s="10">
        <f t="shared" si="92"/>
        <v>50892</v>
      </c>
      <c r="J55" s="10">
        <f t="shared" si="92"/>
        <v>53055</v>
      </c>
      <c r="K55" s="10">
        <f t="shared" si="92"/>
        <v>57089</v>
      </c>
      <c r="L55" s="28">
        <f t="shared" si="92"/>
        <v>59081</v>
      </c>
      <c r="M55" s="10">
        <f t="shared" si="92"/>
        <v>64384</v>
      </c>
      <c r="N55" s="28">
        <f t="shared" si="92"/>
        <v>68410</v>
      </c>
    </row>
    <row r="56" spans="1:14" x14ac:dyDescent="0.25">
      <c r="A56" s="86" t="s">
        <v>67</v>
      </c>
      <c r="B56" s="58">
        <f t="shared" ref="B56:N56" si="93">B24</f>
        <v>20098</v>
      </c>
      <c r="C56" s="59">
        <f t="shared" si="93"/>
        <v>18722</v>
      </c>
      <c r="D56" s="59">
        <f t="shared" si="93"/>
        <v>18609</v>
      </c>
      <c r="E56" s="59">
        <f t="shared" si="93"/>
        <v>22657</v>
      </c>
      <c r="F56" s="59">
        <f t="shared" si="93"/>
        <v>25385</v>
      </c>
      <c r="G56" s="59">
        <f t="shared" si="93"/>
        <v>25573</v>
      </c>
      <c r="H56" s="59">
        <f t="shared" si="93"/>
        <v>27673</v>
      </c>
      <c r="I56" s="59">
        <f t="shared" si="93"/>
        <v>28195</v>
      </c>
      <c r="J56" s="59">
        <f t="shared" si="93"/>
        <v>31545</v>
      </c>
      <c r="K56" s="59">
        <f t="shared" si="93"/>
        <v>32568</v>
      </c>
      <c r="L56" s="26">
        <f t="shared" si="93"/>
        <v>34756</v>
      </c>
      <c r="M56" s="59">
        <f t="shared" si="93"/>
        <v>36109</v>
      </c>
      <c r="N56" s="26">
        <f t="shared" si="93"/>
        <v>42350</v>
      </c>
    </row>
    <row r="57" spans="1:14" x14ac:dyDescent="0.25">
      <c r="A57" s="86" t="s">
        <v>68</v>
      </c>
      <c r="B57" s="58">
        <f t="shared" ref="B57:N57" si="94">B25</f>
        <v>10102</v>
      </c>
      <c r="C57" s="59">
        <f t="shared" si="94"/>
        <v>14514</v>
      </c>
      <c r="D57" s="59">
        <f t="shared" si="94"/>
        <v>14819</v>
      </c>
      <c r="E57" s="59">
        <f t="shared" si="94"/>
        <v>15039</v>
      </c>
      <c r="F57" s="59">
        <f t="shared" si="94"/>
        <v>13004</v>
      </c>
      <c r="G57" s="59">
        <f t="shared" si="94"/>
        <v>12798</v>
      </c>
      <c r="H57" s="59">
        <f t="shared" si="94"/>
        <v>14677</v>
      </c>
      <c r="I57" s="59">
        <f t="shared" si="94"/>
        <v>15384</v>
      </c>
      <c r="J57" s="59">
        <f t="shared" si="94"/>
        <v>15197</v>
      </c>
      <c r="K57" s="59">
        <f t="shared" si="94"/>
        <v>16312</v>
      </c>
      <c r="L57" s="26">
        <f t="shared" si="94"/>
        <v>18032</v>
      </c>
      <c r="M57" s="59">
        <f t="shared" si="94"/>
        <v>20841</v>
      </c>
      <c r="N57" s="26">
        <f t="shared" si="94"/>
        <v>18377</v>
      </c>
    </row>
    <row r="58" spans="1:14" x14ac:dyDescent="0.25">
      <c r="A58" s="86" t="s">
        <v>69</v>
      </c>
      <c r="B58" s="58">
        <f t="shared" ref="B58:N58" si="95">B26</f>
        <v>1292</v>
      </c>
      <c r="C58" s="59">
        <f t="shared" si="95"/>
        <v>1712</v>
      </c>
      <c r="D58" s="59">
        <f t="shared" si="95"/>
        <v>2255</v>
      </c>
      <c r="E58" s="59">
        <f t="shared" si="95"/>
        <v>2778</v>
      </c>
      <c r="F58" s="59">
        <f t="shared" si="95"/>
        <v>3189</v>
      </c>
      <c r="G58" s="59">
        <f t="shared" si="95"/>
        <v>5442</v>
      </c>
      <c r="H58" s="59">
        <f t="shared" si="95"/>
        <v>3727</v>
      </c>
      <c r="I58" s="59">
        <f t="shared" si="95"/>
        <v>7313</v>
      </c>
      <c r="J58" s="59">
        <f t="shared" si="95"/>
        <v>6313</v>
      </c>
      <c r="K58" s="59">
        <f t="shared" si="95"/>
        <v>8209</v>
      </c>
      <c r="L58" s="26">
        <f t="shared" si="95"/>
        <v>6293</v>
      </c>
      <c r="M58" s="59">
        <f t="shared" si="95"/>
        <v>7434</v>
      </c>
      <c r="N58" s="26">
        <f t="shared" si="95"/>
        <v>7683</v>
      </c>
    </row>
    <row r="59" spans="1:14" x14ac:dyDescent="0.25">
      <c r="A59" s="18" t="s">
        <v>89</v>
      </c>
      <c r="B59" s="87">
        <f>SUM(B56:B58)</f>
        <v>31492</v>
      </c>
      <c r="C59" s="10">
        <f t="shared" ref="C59:J59" si="96">SUM(C56:C58)</f>
        <v>34948</v>
      </c>
      <c r="D59" s="10">
        <f t="shared" si="96"/>
        <v>35683</v>
      </c>
      <c r="E59" s="10">
        <f t="shared" si="96"/>
        <v>40474</v>
      </c>
      <c r="F59" s="10">
        <f t="shared" si="96"/>
        <v>41578</v>
      </c>
      <c r="G59" s="10">
        <f t="shared" si="96"/>
        <v>43813</v>
      </c>
      <c r="H59" s="10">
        <f t="shared" si="96"/>
        <v>46077</v>
      </c>
      <c r="I59" s="10">
        <f t="shared" si="96"/>
        <v>50892</v>
      </c>
      <c r="J59" s="10">
        <f t="shared" si="96"/>
        <v>53055</v>
      </c>
      <c r="K59" s="10">
        <f t="shared" ref="K59" si="97">SUM(K56:K58)</f>
        <v>57089</v>
      </c>
      <c r="L59" s="28">
        <f t="shared" ref="L59" si="98">SUM(L56:L58)</f>
        <v>59081</v>
      </c>
      <c r="M59" s="10">
        <f t="shared" ref="M59" si="99">SUM(M56:M58)</f>
        <v>64384</v>
      </c>
      <c r="N59" s="28">
        <f t="shared" ref="N59" si="100">SUM(N56:N58)</f>
        <v>68410</v>
      </c>
    </row>
    <row r="60" spans="1:14" x14ac:dyDescent="0.25">
      <c r="A60" s="83"/>
      <c r="B60" s="84"/>
      <c r="C60" s="84"/>
      <c r="D60" s="84"/>
      <c r="E60" s="84"/>
      <c r="F60" s="84"/>
      <c r="G60" s="84"/>
      <c r="H60" s="84"/>
      <c r="I60" s="84"/>
      <c r="J60" s="84"/>
      <c r="K60" s="94"/>
      <c r="L60" s="84"/>
      <c r="M60" s="94"/>
      <c r="N60" s="84"/>
    </row>
    <row r="61" spans="1:14" x14ac:dyDescent="0.25">
      <c r="A61" s="23" t="s">
        <v>90</v>
      </c>
      <c r="B61" s="88">
        <f>B23-B27</f>
        <v>15310</v>
      </c>
      <c r="C61" s="21">
        <f t="shared" ref="C61:J61" si="101">C23-C27</f>
        <v>15912</v>
      </c>
      <c r="D61" s="21">
        <f t="shared" si="101"/>
        <v>15585</v>
      </c>
      <c r="E61" s="21">
        <f t="shared" si="101"/>
        <v>18919</v>
      </c>
      <c r="F61" s="21">
        <f t="shared" si="101"/>
        <v>19597</v>
      </c>
      <c r="G61" s="21">
        <f t="shared" si="101"/>
        <v>18858</v>
      </c>
      <c r="H61" s="21">
        <f t="shared" si="101"/>
        <v>18127</v>
      </c>
      <c r="I61" s="21">
        <f t="shared" si="101"/>
        <v>20467</v>
      </c>
      <c r="J61" s="21">
        <f t="shared" si="101"/>
        <v>17781</v>
      </c>
      <c r="K61" s="21">
        <f t="shared" ref="K61" si="102">K23-K27</f>
        <v>19407</v>
      </c>
      <c r="L61" s="22">
        <f t="shared" ref="L61" si="103">L23-L27</f>
        <v>19687</v>
      </c>
      <c r="M61" s="21">
        <f t="shared" ref="M61" si="104">M23-M27</f>
        <v>22172</v>
      </c>
      <c r="N61" s="22">
        <f t="shared" ref="N61" si="105">N23-N27</f>
        <v>18540</v>
      </c>
    </row>
    <row r="62" spans="1:14" x14ac:dyDescent="0.25">
      <c r="A62" s="82" t="s">
        <v>91</v>
      </c>
      <c r="M62" s="163" t="s">
        <v>61</v>
      </c>
    </row>
  </sheetData>
  <pageMargins left="0.7" right="0.7" top="0.78740157499999996" bottom="0.78740157499999996" header="0.3" footer="0.3"/>
  <pageSetup paperSize="9" scale="54" orientation="landscape" horizontalDpi="4294967293" verticalDpi="4294967293" r:id="rId1"/>
  <headerFooter>
    <oddFooter>&amp;L&amp;9DT &lt;&amp;F/&amp;A&gt; &amp;D &amp;T</oddFooter>
  </headerFooter>
  <ignoredErrors>
    <ignoredError sqref="B39:I39 G27:I28 G45:I45 B51:E51 G30:I30 J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N62"/>
  <sheetViews>
    <sheetView zoomScale="90" zoomScaleNormal="90" workbookViewId="0"/>
  </sheetViews>
  <sheetFormatPr baseColWidth="10" defaultRowHeight="15" x14ac:dyDescent="0.25"/>
  <cols>
    <col min="1" max="1" width="27.42578125" customWidth="1"/>
    <col min="3" max="11" width="11.42578125" customWidth="1"/>
  </cols>
  <sheetData>
    <row r="1" spans="1:14" x14ac:dyDescent="0.25">
      <c r="A1" s="1" t="s">
        <v>13</v>
      </c>
      <c r="B1" s="2"/>
      <c r="C1" s="31">
        <v>2008</v>
      </c>
      <c r="D1" s="11">
        <v>2009</v>
      </c>
      <c r="E1" s="11">
        <v>2010</v>
      </c>
      <c r="F1" s="11">
        <v>2011</v>
      </c>
      <c r="G1" s="79">
        <v>2012</v>
      </c>
      <c r="H1" s="79">
        <v>2013</v>
      </c>
      <c r="I1" s="79">
        <v>2014</v>
      </c>
      <c r="J1" s="79">
        <v>2015</v>
      </c>
      <c r="K1" s="79">
        <v>2016</v>
      </c>
      <c r="L1" s="75">
        <v>2017</v>
      </c>
      <c r="M1" s="138" t="s">
        <v>55</v>
      </c>
      <c r="N1" s="75">
        <v>2019</v>
      </c>
    </row>
    <row r="2" spans="1:14" x14ac:dyDescent="0.25">
      <c r="A2" t="s">
        <v>92</v>
      </c>
      <c r="B2" s="17" t="s">
        <v>6</v>
      </c>
      <c r="C2" s="32">
        <f t="shared" ref="C2:N2" si="0">C20/B24</f>
        <v>0.21786158705848568</v>
      </c>
      <c r="D2" s="33">
        <f t="shared" si="0"/>
        <v>-0.16302550265471322</v>
      </c>
      <c r="E2" s="33">
        <f t="shared" si="0"/>
        <v>9.5606435643564358E-2</v>
      </c>
      <c r="F2" s="33">
        <f t="shared" si="0"/>
        <v>-0.17164035425490951</v>
      </c>
      <c r="G2" s="33">
        <f t="shared" si="0"/>
        <v>-0.48564823733384704</v>
      </c>
      <c r="H2" s="33">
        <f t="shared" si="0"/>
        <v>-0.34821034025629694</v>
      </c>
      <c r="I2" s="33">
        <f t="shared" si="0"/>
        <v>7.7627388535031844E-2</v>
      </c>
      <c r="J2" s="33">
        <f t="shared" si="0"/>
        <v>8.377618005626758E-2</v>
      </c>
      <c r="K2" s="33">
        <f t="shared" si="0"/>
        <v>7.8923495615361355E-2</v>
      </c>
      <c r="L2" s="34">
        <f t="shared" si="0"/>
        <v>-0.22652357224990419</v>
      </c>
      <c r="M2" s="33">
        <f t="shared" si="0"/>
        <v>-3.5252643948296123E-3</v>
      </c>
      <c r="N2" s="34">
        <f t="shared" si="0"/>
        <v>-8.1173899469247579E-2</v>
      </c>
    </row>
    <row r="3" spans="1:14" x14ac:dyDescent="0.25">
      <c r="B3" s="17" t="s">
        <v>7</v>
      </c>
      <c r="C3" s="32">
        <f t="shared" ref="C3:I3" si="1">C20/C15</f>
        <v>4.2600980795867181E-2</v>
      </c>
      <c r="D3" s="33">
        <f t="shared" si="1"/>
        <v>-4.6175085669205924E-2</v>
      </c>
      <c r="E3" s="33">
        <f t="shared" si="1"/>
        <v>2.1749841627366789E-2</v>
      </c>
      <c r="F3" s="33">
        <f t="shared" si="1"/>
        <v>-3.6319563268964392E-2</v>
      </c>
      <c r="G3" s="33">
        <f t="shared" si="1"/>
        <v>-0.10717398235731747</v>
      </c>
      <c r="H3" s="33">
        <f t="shared" si="1"/>
        <v>-3.9615906691468507E-2</v>
      </c>
      <c r="I3" s="33">
        <f t="shared" si="1"/>
        <v>4.7316315636222461E-3</v>
      </c>
      <c r="J3" s="33">
        <f t="shared" ref="J3" si="2">J20/J15</f>
        <v>6.2649025199869096E-3</v>
      </c>
      <c r="K3" s="33">
        <f t="shared" ref="K3" si="3">K20/K15</f>
        <v>6.8684210526315792E-3</v>
      </c>
      <c r="L3" s="34">
        <f t="shared" ref="L3" si="4">L20/L15</f>
        <v>-1.7385932397846617E-2</v>
      </c>
      <c r="M3" s="33">
        <f t="shared" ref="M3" si="5">M20/M15</f>
        <v>-2.8891992102855491E-4</v>
      </c>
      <c r="N3" s="34">
        <f t="shared" ref="N3" si="6">N20/N15</f>
        <v>-6.1910658157919799E-3</v>
      </c>
    </row>
    <row r="4" spans="1:14" x14ac:dyDescent="0.25">
      <c r="B4" s="15" t="s">
        <v>11</v>
      </c>
      <c r="C4" s="35">
        <f t="shared" ref="C4:N4" si="7">C15/((B27+C27)/2)</f>
        <v>2.4463014263147049</v>
      </c>
      <c r="D4" s="36">
        <f t="shared" si="7"/>
        <v>1.7154275564577519</v>
      </c>
      <c r="E4" s="36">
        <f t="shared" si="7"/>
        <v>1.6747941921920741</v>
      </c>
      <c r="F4" s="36">
        <f t="shared" si="7"/>
        <v>1.929337787384555</v>
      </c>
      <c r="G4" s="36">
        <f t="shared" si="7"/>
        <v>2.063603465292247</v>
      </c>
      <c r="H4" s="36">
        <f t="shared" si="7"/>
        <v>2.0130553587693552</v>
      </c>
      <c r="I4" s="36">
        <f t="shared" si="7"/>
        <v>2.2174872208770515</v>
      </c>
      <c r="J4" s="36">
        <f t="shared" si="7"/>
        <v>2.2920674042917994</v>
      </c>
      <c r="K4" s="36">
        <f t="shared" si="7"/>
        <v>2.005753345121533</v>
      </c>
      <c r="L4" s="37">
        <f t="shared" si="7"/>
        <v>1.8101120903112435</v>
      </c>
      <c r="M4" s="36">
        <f t="shared" si="7"/>
        <v>2.3733036198965745</v>
      </c>
      <c r="N4" s="37">
        <f t="shared" si="7"/>
        <v>2.3998399954284406</v>
      </c>
    </row>
    <row r="5" spans="1:14" x14ac:dyDescent="0.25">
      <c r="B5" s="16" t="s">
        <v>8</v>
      </c>
      <c r="C5" s="50">
        <f t="shared" ref="C5:N5" si="8">((B27+C27)/2)/B24</f>
        <v>2.0905044510385755</v>
      </c>
      <c r="D5" s="51">
        <f t="shared" si="8"/>
        <v>2.0581425711550176</v>
      </c>
      <c r="E5" s="51">
        <f t="shared" si="8"/>
        <v>2.6246390264026402</v>
      </c>
      <c r="F5" s="51">
        <f t="shared" si="8"/>
        <v>2.4494609164420487</v>
      </c>
      <c r="G5" s="51">
        <f t="shared" si="8"/>
        <v>2.1958678481988056</v>
      </c>
      <c r="H5" s="51">
        <f t="shared" si="8"/>
        <v>4.3663278833406984</v>
      </c>
      <c r="I5" s="51">
        <f t="shared" si="8"/>
        <v>7.3984872611464967</v>
      </c>
      <c r="J5" s="51">
        <f t="shared" si="8"/>
        <v>5.8341669271647394</v>
      </c>
      <c r="K5" s="51">
        <f t="shared" si="8"/>
        <v>5.7289083761717565</v>
      </c>
      <c r="L5" s="52">
        <f t="shared" si="8"/>
        <v>7.1979685703334608</v>
      </c>
      <c r="M5" s="51">
        <f t="shared" si="8"/>
        <v>5.1411574618096356</v>
      </c>
      <c r="N5" s="52">
        <f t="shared" si="8"/>
        <v>5.4634717452388388</v>
      </c>
    </row>
    <row r="6" spans="1:14" s="83" customFormat="1" ht="12" x14ac:dyDescent="0.2">
      <c r="B6" s="172" t="s">
        <v>85</v>
      </c>
      <c r="C6" s="173">
        <f t="shared" ref="C6:I6" si="9">C3*C4*C5</f>
        <v>0.21786158705848568</v>
      </c>
      <c r="D6" s="174">
        <f t="shared" si="9"/>
        <v>-0.16302550265471319</v>
      </c>
      <c r="E6" s="174">
        <f t="shared" si="9"/>
        <v>9.5606435643564344E-2</v>
      </c>
      <c r="F6" s="174">
        <f t="shared" si="9"/>
        <v>-0.17164035425490953</v>
      </c>
      <c r="G6" s="174">
        <f t="shared" si="9"/>
        <v>-0.4856482373338471</v>
      </c>
      <c r="H6" s="174">
        <f t="shared" si="9"/>
        <v>-0.34821034025629694</v>
      </c>
      <c r="I6" s="174">
        <f t="shared" si="9"/>
        <v>7.7627388535031844E-2</v>
      </c>
      <c r="J6" s="174">
        <f t="shared" ref="J6" si="10">J3*J4*J5</f>
        <v>8.3776180056267593E-2</v>
      </c>
      <c r="K6" s="174">
        <f t="shared" ref="K6" si="11">K3*K4*K5</f>
        <v>7.8923495615361369E-2</v>
      </c>
      <c r="L6" s="175">
        <f t="shared" ref="L6" si="12">L3*L4*L5</f>
        <v>-0.22652357224990416</v>
      </c>
      <c r="M6" s="174">
        <f t="shared" ref="M6" si="13">M3*M4*M5</f>
        <v>-3.5252643948296119E-3</v>
      </c>
      <c r="N6" s="175">
        <f t="shared" ref="N6" si="14">N3*N4*N5</f>
        <v>-8.1173899469247565E-2</v>
      </c>
    </row>
    <row r="7" spans="1:14" x14ac:dyDescent="0.25">
      <c r="B7" s="20" t="s">
        <v>9</v>
      </c>
      <c r="C7" s="44">
        <f t="shared" ref="C7:N7" si="15">C17/((B30+C30)/2)</f>
        <v>0.2040384999857196</v>
      </c>
      <c r="D7" s="45">
        <f t="shared" si="15"/>
        <v>-9.0988674290091373E-2</v>
      </c>
      <c r="E7" s="45">
        <f t="shared" si="15"/>
        <v>6.8824461829523953E-2</v>
      </c>
      <c r="F7" s="45">
        <f t="shared" si="15"/>
        <v>-4.8157535581984795E-2</v>
      </c>
      <c r="G7" s="45">
        <f t="shared" si="15"/>
        <v>-0.23610773428424778</v>
      </c>
      <c r="H7" s="45">
        <f t="shared" si="15"/>
        <v>-3.7405976824557839E-2</v>
      </c>
      <c r="I7" s="45">
        <f t="shared" si="15"/>
        <v>8.9656252446950122E-2</v>
      </c>
      <c r="J7" s="45">
        <f t="shared" si="15"/>
        <v>7.8784468204839614E-2</v>
      </c>
      <c r="K7" s="45">
        <f t="shared" si="15"/>
        <v>8.778362679252133E-2</v>
      </c>
      <c r="L7" s="46">
        <f t="shared" si="15"/>
        <v>5.1289653127779423E-2</v>
      </c>
      <c r="M7" s="45">
        <f t="shared" si="15"/>
        <v>6.9103040993979375E-2</v>
      </c>
      <c r="N7" s="46">
        <f t="shared" si="15"/>
        <v>1.9096848302103526E-2</v>
      </c>
    </row>
    <row r="8" spans="1:14" x14ac:dyDescent="0.25">
      <c r="B8" s="17" t="s">
        <v>10</v>
      </c>
      <c r="C8" s="32">
        <f t="shared" ref="C8:I8" si="16">C17/C15</f>
        <v>6.6858832778048147E-2</v>
      </c>
      <c r="D8" s="33">
        <f t="shared" si="16"/>
        <v>-4.0997953800261319E-2</v>
      </c>
      <c r="E8" s="33">
        <f t="shared" si="16"/>
        <v>3.1580676192487271E-2</v>
      </c>
      <c r="F8" s="33">
        <f t="shared" si="16"/>
        <v>-2.0125478693066079E-2</v>
      </c>
      <c r="G8" s="33">
        <f t="shared" si="16"/>
        <v>-9.2889786374747582E-2</v>
      </c>
      <c r="H8" s="33">
        <f t="shared" si="16"/>
        <v>-1.3875622140666634E-2</v>
      </c>
      <c r="I8" s="33">
        <f t="shared" si="16"/>
        <v>2.7783169950499856E-2</v>
      </c>
      <c r="J8" s="33">
        <f t="shared" ref="J8" si="17">J17/J15</f>
        <v>2.4545327037262143E-2</v>
      </c>
      <c r="K8" s="33">
        <f t="shared" ref="K8" si="18">K17/K15</f>
        <v>3.1815789473684214E-2</v>
      </c>
      <c r="L8" s="34">
        <f t="shared" ref="L8" si="19">L17/L15</f>
        <v>2.0357132350778101E-2</v>
      </c>
      <c r="M8" s="33">
        <f t="shared" ref="M8" si="20">M17/M15</f>
        <v>2.1693070737227333E-2</v>
      </c>
      <c r="N8" s="34">
        <f t="shared" ref="N8" si="21">N17/N15</f>
        <v>6.3339365653871799E-3</v>
      </c>
    </row>
    <row r="9" spans="1:14" x14ac:dyDescent="0.25">
      <c r="B9" s="16" t="s">
        <v>30</v>
      </c>
      <c r="C9" s="47">
        <f t="shared" ref="C9:N9" si="22">C15/((B30+C30)/2)</f>
        <v>3.0517807671436326</v>
      </c>
      <c r="D9" s="48">
        <f t="shared" si="22"/>
        <v>2.2193467199212122</v>
      </c>
      <c r="E9" s="48">
        <f t="shared" si="22"/>
        <v>2.1793219818990641</v>
      </c>
      <c r="F9" s="48">
        <f t="shared" si="22"/>
        <v>2.39286410606356</v>
      </c>
      <c r="G9" s="48">
        <f t="shared" si="22"/>
        <v>2.5418051165680633</v>
      </c>
      <c r="H9" s="48">
        <f t="shared" si="22"/>
        <v>2.6958053804973909</v>
      </c>
      <c r="I9" s="48">
        <f t="shared" si="22"/>
        <v>3.2269986688591339</v>
      </c>
      <c r="J9" s="48">
        <f t="shared" si="22"/>
        <v>3.2097542674920279</v>
      </c>
      <c r="K9" s="48">
        <f t="shared" si="22"/>
        <v>2.7591214376474857</v>
      </c>
      <c r="L9" s="49">
        <f t="shared" si="22"/>
        <v>2.51949303290839</v>
      </c>
      <c r="M9" s="48">
        <f t="shared" si="22"/>
        <v>3.1854891283506537</v>
      </c>
      <c r="N9" s="49">
        <f t="shared" si="22"/>
        <v>3.0150046665230814</v>
      </c>
    </row>
    <row r="10" spans="1:14" s="83" customFormat="1" ht="12" x14ac:dyDescent="0.2">
      <c r="B10" s="176" t="s">
        <v>85</v>
      </c>
      <c r="C10" s="177">
        <f t="shared" ref="C10:I10" si="23">C8*C9</f>
        <v>0.20403849998571963</v>
      </c>
      <c r="D10" s="178">
        <f t="shared" si="23"/>
        <v>-9.0988674290091359E-2</v>
      </c>
      <c r="E10" s="178">
        <f t="shared" si="23"/>
        <v>6.8824461829523953E-2</v>
      </c>
      <c r="F10" s="178">
        <f t="shared" si="23"/>
        <v>-4.8157535581984788E-2</v>
      </c>
      <c r="G10" s="178">
        <f t="shared" si="23"/>
        <v>-0.23610773428424778</v>
      </c>
      <c r="H10" s="178">
        <f t="shared" si="23"/>
        <v>-3.7405976824557839E-2</v>
      </c>
      <c r="I10" s="178">
        <f t="shared" si="23"/>
        <v>8.9656252446950122E-2</v>
      </c>
      <c r="J10" s="178">
        <f t="shared" ref="J10" si="24">J8*J9</f>
        <v>7.8784468204839614E-2</v>
      </c>
      <c r="K10" s="178">
        <f t="shared" ref="K10" si="25">K8*K9</f>
        <v>8.778362679252133E-2</v>
      </c>
      <c r="L10" s="179">
        <f t="shared" ref="L10" si="26">L8*L9</f>
        <v>5.1289653127779423E-2</v>
      </c>
      <c r="M10" s="178">
        <f t="shared" ref="M10" si="27">M8*M9</f>
        <v>6.9103040993979375E-2</v>
      </c>
      <c r="N10" s="179">
        <f t="shared" ref="N10" si="28">N8*N9</f>
        <v>1.9096848302103526E-2</v>
      </c>
    </row>
    <row r="11" spans="1:14" x14ac:dyDescent="0.25">
      <c r="B11" s="20" t="s">
        <v>28</v>
      </c>
      <c r="C11" s="44">
        <f t="shared" ref="C11:G11" si="29">(C19+C21)/((B27+C27)/2)</f>
        <v>0.17642345291787814</v>
      </c>
      <c r="D11" s="45">
        <f t="shared" si="29"/>
        <v>-5.9206631142687982E-2</v>
      </c>
      <c r="E11" s="45">
        <f t="shared" si="29"/>
        <v>8.3737744857260737E-2</v>
      </c>
      <c r="F11" s="45">
        <f t="shared" si="29"/>
        <v>-2.8414226763607782E-2</v>
      </c>
      <c r="G11" s="45">
        <f t="shared" si="29"/>
        <v>-0.18401140475929378</v>
      </c>
      <c r="H11" s="45">
        <f t="shared" ref="H11:N11" si="30">(H19+H21)/((G27+H27)/2)</f>
        <v>-4.3720271227608541E-2</v>
      </c>
      <c r="I11" s="45">
        <f t="shared" si="30"/>
        <v>5.6120527306967982E-2</v>
      </c>
      <c r="J11" s="45">
        <f t="shared" si="30"/>
        <v>5.0204945481822812E-2</v>
      </c>
      <c r="K11" s="45">
        <f t="shared" si="30"/>
        <v>5.2835765749122486E-2</v>
      </c>
      <c r="L11" s="46">
        <f t="shared" si="30"/>
        <v>1.7785351047684975E-2</v>
      </c>
      <c r="M11" s="45">
        <f t="shared" si="30"/>
        <v>4.4170166566669521E-2</v>
      </c>
      <c r="N11" s="46">
        <f t="shared" si="30"/>
        <v>5.0287151061458903E-3</v>
      </c>
    </row>
    <row r="12" spans="1:14" x14ac:dyDescent="0.25">
      <c r="B12" s="20" t="s">
        <v>29</v>
      </c>
      <c r="C12" s="44">
        <f t="shared" ref="C12:N12" si="31">C20/((B27+C27)/2)</f>
        <v>0.10421484008333524</v>
      </c>
      <c r="D12" s="45">
        <f t="shared" si="31"/>
        <v>-7.9210014378753274E-2</v>
      </c>
      <c r="E12" s="45">
        <f t="shared" si="31"/>
        <v>3.642650843861131E-2</v>
      </c>
      <c r="F12" s="45">
        <f t="shared" si="31"/>
        <v>-7.0072705836117119E-2</v>
      </c>
      <c r="G12" s="45">
        <f t="shared" si="31"/>
        <v>-0.22116460138173044</v>
      </c>
      <c r="H12" s="45">
        <f t="shared" si="31"/>
        <v>-7.9749013257767426E-2</v>
      </c>
      <c r="I12" s="45">
        <f t="shared" si="31"/>
        <v>1.0492332526230832E-2</v>
      </c>
      <c r="J12" s="45">
        <f t="shared" si="31"/>
        <v>1.4359578857127549E-2</v>
      </c>
      <c r="K12" s="45">
        <f t="shared" si="31"/>
        <v>1.377635850201895E-2</v>
      </c>
      <c r="L12" s="46">
        <f t="shared" si="31"/>
        <v>-3.1470486434676107E-2</v>
      </c>
      <c r="M12" s="45">
        <f t="shared" si="31"/>
        <v>-6.8569469443730176E-4</v>
      </c>
      <c r="N12" s="46">
        <f t="shared" si="31"/>
        <v>-1.4857567359067401E-2</v>
      </c>
    </row>
    <row r="13" spans="1:14" s="6" customFormat="1" x14ac:dyDescent="0.25">
      <c r="A13"/>
      <c r="B13"/>
      <c r="C13"/>
      <c r="D13"/>
      <c r="E13"/>
      <c r="F13"/>
      <c r="G13" s="2"/>
      <c r="H13"/>
      <c r="I13" s="2"/>
      <c r="J13" s="2"/>
      <c r="K13" s="2"/>
      <c r="L13" s="2"/>
      <c r="M13" s="2"/>
      <c r="N13" s="2"/>
    </row>
    <row r="14" spans="1:14" x14ac:dyDescent="0.25">
      <c r="A14" s="82" t="s">
        <v>63</v>
      </c>
      <c r="B14" s="12"/>
      <c r="C14" s="11">
        <v>2008</v>
      </c>
      <c r="D14" s="11">
        <v>2009</v>
      </c>
      <c r="E14" s="11">
        <v>2010</v>
      </c>
      <c r="F14" s="11">
        <v>2011</v>
      </c>
      <c r="G14" s="79">
        <v>2012</v>
      </c>
      <c r="H14" s="79">
        <v>2013</v>
      </c>
      <c r="I14" s="79">
        <v>2014</v>
      </c>
      <c r="J14" s="79">
        <v>2015</v>
      </c>
      <c r="K14" s="79">
        <v>2016</v>
      </c>
      <c r="L14" s="75">
        <f>L1</f>
        <v>2017</v>
      </c>
      <c r="M14" s="138" t="str">
        <f>M1</f>
        <v>2018*</v>
      </c>
      <c r="N14" s="75">
        <f>N1</f>
        <v>2019</v>
      </c>
    </row>
    <row r="15" spans="1:14" x14ac:dyDescent="0.25">
      <c r="A15" s="23" t="s">
        <v>64</v>
      </c>
      <c r="B15" s="24"/>
      <c r="C15" s="24">
        <v>53426</v>
      </c>
      <c r="D15" s="24">
        <v>40563</v>
      </c>
      <c r="E15" s="24">
        <v>42621</v>
      </c>
      <c r="F15" s="24">
        <v>49092</v>
      </c>
      <c r="G15" s="24">
        <v>47045</v>
      </c>
      <c r="H15" s="24">
        <v>39782</v>
      </c>
      <c r="I15" s="24">
        <v>41212</v>
      </c>
      <c r="J15" s="24">
        <v>42778</v>
      </c>
      <c r="K15" s="24">
        <v>38000</v>
      </c>
      <c r="L15" s="25">
        <v>33993</v>
      </c>
      <c r="M15" s="133">
        <v>41534</v>
      </c>
      <c r="N15" s="110">
        <v>41996</v>
      </c>
    </row>
    <row r="16" spans="1:14" x14ac:dyDescent="0.25">
      <c r="A16" s="15" t="s">
        <v>0</v>
      </c>
      <c r="B16" s="3"/>
      <c r="C16" s="3">
        <v>4976</v>
      </c>
      <c r="D16" s="3">
        <v>192</v>
      </c>
      <c r="E16" s="3">
        <v>2769</v>
      </c>
      <c r="F16" s="3">
        <v>3385</v>
      </c>
      <c r="G16" s="59">
        <v>1544</v>
      </c>
      <c r="H16" s="56">
        <v>1212</v>
      </c>
      <c r="I16" s="56">
        <v>2330</v>
      </c>
      <c r="J16" s="56">
        <v>2445</v>
      </c>
      <c r="K16" s="56">
        <f>K18+1116</f>
        <v>2325</v>
      </c>
      <c r="L16" s="57">
        <f>L18+1120</f>
        <v>1804</v>
      </c>
      <c r="M16" s="137">
        <f>M18+155+937</f>
        <v>1993</v>
      </c>
      <c r="N16" s="111">
        <f>N18+158+998</f>
        <v>1422</v>
      </c>
    </row>
    <row r="17" spans="1:14" x14ac:dyDescent="0.25">
      <c r="A17" s="15" t="s">
        <v>1</v>
      </c>
      <c r="B17" s="3"/>
      <c r="C17" s="3">
        <f t="shared" ref="C17:E17" si="32">C18</f>
        <v>3572</v>
      </c>
      <c r="D17" s="3">
        <f t="shared" si="32"/>
        <v>-1663</v>
      </c>
      <c r="E17" s="3">
        <f t="shared" si="32"/>
        <v>1346</v>
      </c>
      <c r="F17" s="3">
        <f t="shared" ref="F17:N17" si="33">F18</f>
        <v>-988</v>
      </c>
      <c r="G17" s="59">
        <f t="shared" si="33"/>
        <v>-4370</v>
      </c>
      <c r="H17" s="5">
        <f t="shared" si="33"/>
        <v>-552</v>
      </c>
      <c r="I17" s="5">
        <f t="shared" si="33"/>
        <v>1145</v>
      </c>
      <c r="J17" s="5">
        <f t="shared" si="33"/>
        <v>1050</v>
      </c>
      <c r="K17" s="5">
        <f t="shared" si="33"/>
        <v>1209</v>
      </c>
      <c r="L17" s="76">
        <f>L18+8</f>
        <v>692</v>
      </c>
      <c r="M17" s="5">
        <f t="shared" si="33"/>
        <v>901</v>
      </c>
      <c r="N17" s="76">
        <f t="shared" si="33"/>
        <v>266</v>
      </c>
    </row>
    <row r="18" spans="1:14" x14ac:dyDescent="0.25">
      <c r="A18" s="15" t="s">
        <v>2</v>
      </c>
      <c r="B18" s="3"/>
      <c r="C18" s="3">
        <v>3572</v>
      </c>
      <c r="D18" s="3">
        <v>-1663</v>
      </c>
      <c r="E18" s="3">
        <v>1346</v>
      </c>
      <c r="F18" s="3">
        <v>-988</v>
      </c>
      <c r="G18" s="59">
        <v>-4370</v>
      </c>
      <c r="H18" s="5">
        <v>-552</v>
      </c>
      <c r="I18" s="5">
        <v>1145</v>
      </c>
      <c r="J18" s="5">
        <v>1050</v>
      </c>
      <c r="K18" s="5">
        <v>1209</v>
      </c>
      <c r="L18" s="76">
        <v>684</v>
      </c>
      <c r="M18" s="5">
        <v>901</v>
      </c>
      <c r="N18" s="76">
        <v>266</v>
      </c>
    </row>
    <row r="19" spans="1:14" x14ac:dyDescent="0.25">
      <c r="A19" s="15" t="s">
        <v>3</v>
      </c>
      <c r="B19" s="3"/>
      <c r="C19" s="3">
        <v>3128</v>
      </c>
      <c r="D19" s="3">
        <v>-2364</v>
      </c>
      <c r="E19" s="3">
        <v>1135</v>
      </c>
      <c r="F19" s="3">
        <v>-1578</v>
      </c>
      <c r="G19" s="59">
        <v>-5067</v>
      </c>
      <c r="H19" s="59">
        <v>-1648</v>
      </c>
      <c r="I19" s="59">
        <v>429</v>
      </c>
      <c r="J19" s="59">
        <v>485</v>
      </c>
      <c r="K19" s="59">
        <v>652</v>
      </c>
      <c r="L19" s="26">
        <v>61</v>
      </c>
      <c r="M19" s="5">
        <v>561</v>
      </c>
      <c r="N19" s="76">
        <v>-83</v>
      </c>
    </row>
    <row r="20" spans="1:14" x14ac:dyDescent="0.25">
      <c r="A20" s="16" t="s">
        <v>4</v>
      </c>
      <c r="B20" s="4"/>
      <c r="C20" s="4">
        <v>2276</v>
      </c>
      <c r="D20" s="4">
        <v>-1873</v>
      </c>
      <c r="E20" s="4">
        <v>927</v>
      </c>
      <c r="F20" s="4">
        <v>-1783</v>
      </c>
      <c r="G20" s="4">
        <v>-5042</v>
      </c>
      <c r="H20" s="4">
        <v>-1576</v>
      </c>
      <c r="I20" s="4">
        <v>195</v>
      </c>
      <c r="J20" s="4">
        <v>268</v>
      </c>
      <c r="K20" s="4">
        <v>261</v>
      </c>
      <c r="L20" s="27">
        <v>-591</v>
      </c>
      <c r="M20" s="136">
        <v>-12</v>
      </c>
      <c r="N20" s="109">
        <v>-260</v>
      </c>
    </row>
    <row r="21" spans="1:14" x14ac:dyDescent="0.25">
      <c r="A21" s="16" t="s">
        <v>65</v>
      </c>
      <c r="B21" s="4"/>
      <c r="C21" s="4">
        <v>725</v>
      </c>
      <c r="D21" s="4">
        <v>964</v>
      </c>
      <c r="E21" s="4">
        <v>996</v>
      </c>
      <c r="F21" s="4">
        <v>855</v>
      </c>
      <c r="G21" s="21">
        <v>872</v>
      </c>
      <c r="H21" s="4">
        <v>784</v>
      </c>
      <c r="I21" s="4">
        <v>614</v>
      </c>
      <c r="J21" s="4">
        <v>452</v>
      </c>
      <c r="K21" s="4">
        <v>349</v>
      </c>
      <c r="L21" s="27">
        <v>273</v>
      </c>
      <c r="M21" s="136">
        <v>212</v>
      </c>
      <c r="N21" s="109">
        <v>171</v>
      </c>
    </row>
    <row r="22" spans="1:14" x14ac:dyDescent="0.25">
      <c r="A22" s="16"/>
      <c r="B22" s="13">
        <v>39355</v>
      </c>
      <c r="C22" s="13">
        <v>39721</v>
      </c>
      <c r="D22" s="13">
        <v>40086</v>
      </c>
      <c r="E22" s="13">
        <v>40451</v>
      </c>
      <c r="F22" s="13">
        <v>40816</v>
      </c>
      <c r="G22" s="13">
        <v>41182</v>
      </c>
      <c r="H22" s="13">
        <v>41547</v>
      </c>
      <c r="I22" s="13">
        <v>41912</v>
      </c>
      <c r="J22" s="13">
        <v>42277</v>
      </c>
      <c r="K22" s="13">
        <v>42643</v>
      </c>
      <c r="L22" s="14">
        <v>43008</v>
      </c>
      <c r="M22" s="13">
        <v>43373</v>
      </c>
      <c r="N22" s="14">
        <v>43738</v>
      </c>
    </row>
    <row r="23" spans="1:14" x14ac:dyDescent="0.25">
      <c r="A23" s="20" t="s">
        <v>66</v>
      </c>
      <c r="B23" s="53">
        <v>38074</v>
      </c>
      <c r="C23" s="21">
        <v>41642</v>
      </c>
      <c r="D23" s="21">
        <v>41367</v>
      </c>
      <c r="E23" s="21">
        <v>43712</v>
      </c>
      <c r="F23" s="21">
        <v>43603</v>
      </c>
      <c r="G23" s="21">
        <v>38284</v>
      </c>
      <c r="H23" s="21">
        <v>35297</v>
      </c>
      <c r="I23" s="21">
        <v>36430</v>
      </c>
      <c r="J23" s="21">
        <v>35694</v>
      </c>
      <c r="K23" s="21">
        <v>35072</v>
      </c>
      <c r="L23" s="22">
        <v>35048</v>
      </c>
      <c r="M23" s="21">
        <v>34426</v>
      </c>
      <c r="N23" s="22">
        <v>36475</v>
      </c>
    </row>
    <row r="24" spans="1:14" x14ac:dyDescent="0.25">
      <c r="A24" s="15" t="s">
        <v>67</v>
      </c>
      <c r="B24" s="54">
        <v>10447</v>
      </c>
      <c r="C24" s="3">
        <v>11489</v>
      </c>
      <c r="D24" s="3">
        <v>9696</v>
      </c>
      <c r="E24" s="3">
        <v>10388</v>
      </c>
      <c r="F24" s="3">
        <v>10382</v>
      </c>
      <c r="G24" s="59">
        <v>4526</v>
      </c>
      <c r="H24" s="59">
        <v>2512</v>
      </c>
      <c r="I24" s="59">
        <v>3199</v>
      </c>
      <c r="J24" s="59">
        <v>3307</v>
      </c>
      <c r="K24" s="59">
        <v>2609</v>
      </c>
      <c r="L24" s="26">
        <v>3404</v>
      </c>
      <c r="M24" s="59">
        <v>3203</v>
      </c>
      <c r="N24" s="26">
        <v>2220</v>
      </c>
    </row>
    <row r="25" spans="1:14" x14ac:dyDescent="0.25">
      <c r="A25" s="15" t="s">
        <v>68</v>
      </c>
      <c r="B25" s="54">
        <v>3638</v>
      </c>
      <c r="C25" s="3">
        <v>4416</v>
      </c>
      <c r="D25" s="3">
        <v>7604</v>
      </c>
      <c r="E25" s="3">
        <v>7461</v>
      </c>
      <c r="F25" s="3">
        <v>7151</v>
      </c>
      <c r="G25" s="59">
        <v>8153</v>
      </c>
      <c r="H25" s="59">
        <v>8871</v>
      </c>
      <c r="I25" s="59">
        <v>7722</v>
      </c>
      <c r="J25" s="59">
        <v>7955</v>
      </c>
      <c r="K25" s="59">
        <v>7612</v>
      </c>
      <c r="L25" s="26">
        <f>5326+1930</f>
        <v>7256</v>
      </c>
      <c r="M25" s="59">
        <f>5191+185</f>
        <v>5376</v>
      </c>
      <c r="N25" s="26">
        <f>6529+886</f>
        <v>7415</v>
      </c>
    </row>
    <row r="26" spans="1:14" s="1" customFormat="1" x14ac:dyDescent="0.25">
      <c r="A26" s="15" t="s">
        <v>69</v>
      </c>
      <c r="B26" s="54">
        <v>7139</v>
      </c>
      <c r="C26" s="3">
        <v>6550</v>
      </c>
      <c r="D26" s="3">
        <v>7537</v>
      </c>
      <c r="E26" s="3">
        <v>8211</v>
      </c>
      <c r="F26" s="3">
        <v>7297</v>
      </c>
      <c r="G26" s="59">
        <v>8086</v>
      </c>
      <c r="H26" s="59">
        <v>7376</v>
      </c>
      <c r="I26" s="59">
        <v>7490</v>
      </c>
      <c r="J26" s="59">
        <v>7654</v>
      </c>
      <c r="K26" s="59">
        <v>8754</v>
      </c>
      <c r="L26" s="26">
        <v>7924</v>
      </c>
      <c r="M26" s="59">
        <v>7838</v>
      </c>
      <c r="N26" s="26">
        <v>8947</v>
      </c>
    </row>
    <row r="27" spans="1:14" x14ac:dyDescent="0.25">
      <c r="A27" s="18" t="s">
        <v>70</v>
      </c>
      <c r="B27" s="10">
        <f t="shared" ref="B27:I27" si="34">SUM(B24:B26)</f>
        <v>21224</v>
      </c>
      <c r="C27" s="10">
        <f t="shared" si="34"/>
        <v>22455</v>
      </c>
      <c r="D27" s="10">
        <f t="shared" si="34"/>
        <v>24837</v>
      </c>
      <c r="E27" s="10">
        <f t="shared" si="34"/>
        <v>26060</v>
      </c>
      <c r="F27" s="10">
        <f t="shared" si="34"/>
        <v>24830</v>
      </c>
      <c r="G27" s="10">
        <f t="shared" si="34"/>
        <v>20765</v>
      </c>
      <c r="H27" s="10">
        <f t="shared" si="34"/>
        <v>18759</v>
      </c>
      <c r="I27" s="10">
        <f t="shared" si="34"/>
        <v>18411</v>
      </c>
      <c r="J27" s="10">
        <f t="shared" ref="J27" si="35">SUM(J24:J26)</f>
        <v>18916</v>
      </c>
      <c r="K27" s="10">
        <f t="shared" ref="K27" si="36">SUM(K24:K26)</f>
        <v>18975</v>
      </c>
      <c r="L27" s="28">
        <f t="shared" ref="L27" si="37">SUM(L24:L26)</f>
        <v>18584</v>
      </c>
      <c r="M27" s="10">
        <f t="shared" ref="M27" si="38">SUM(M24:M26)</f>
        <v>16417</v>
      </c>
      <c r="N27" s="28">
        <f t="shared" ref="N27" si="39">SUM(N24:N26)</f>
        <v>18582</v>
      </c>
    </row>
    <row r="28" spans="1:14" x14ac:dyDescent="0.25">
      <c r="A28" s="15" t="s">
        <v>71</v>
      </c>
      <c r="B28" s="54">
        <v>3861</v>
      </c>
      <c r="C28" s="3">
        <v>2832</v>
      </c>
      <c r="D28" s="3">
        <v>5546</v>
      </c>
      <c r="E28" s="3">
        <v>3681</v>
      </c>
      <c r="F28" s="3">
        <v>3573</v>
      </c>
      <c r="G28" s="59">
        <v>2353</v>
      </c>
      <c r="H28" s="59">
        <v>3833</v>
      </c>
      <c r="I28" s="59">
        <v>4030</v>
      </c>
      <c r="J28" s="59">
        <v>4535</v>
      </c>
      <c r="K28" s="59">
        <v>4105</v>
      </c>
      <c r="L28" s="26">
        <v>5292</v>
      </c>
      <c r="M28" s="59">
        <v>3006</v>
      </c>
      <c r="N28" s="26">
        <v>3706</v>
      </c>
    </row>
    <row r="29" spans="1:14" x14ac:dyDescent="0.25">
      <c r="A29" s="15" t="s">
        <v>72</v>
      </c>
      <c r="B29" s="54">
        <f>B35</f>
        <v>983</v>
      </c>
      <c r="C29" s="3">
        <f t="shared" ref="C29:I29" si="40">C35</f>
        <v>990</v>
      </c>
      <c r="D29" s="3">
        <f t="shared" si="40"/>
        <v>1370</v>
      </c>
      <c r="E29" s="3">
        <f t="shared" si="40"/>
        <v>1186</v>
      </c>
      <c r="F29" s="3">
        <f t="shared" si="40"/>
        <v>1418</v>
      </c>
      <c r="G29" s="59">
        <f t="shared" si="40"/>
        <v>1234</v>
      </c>
      <c r="H29" s="59">
        <f t="shared" si="40"/>
        <v>2590</v>
      </c>
      <c r="I29" s="59">
        <f t="shared" si="40"/>
        <v>1175</v>
      </c>
      <c r="J29" s="59">
        <f t="shared" ref="J29" si="41">J35</f>
        <v>932</v>
      </c>
      <c r="K29" s="59">
        <f t="shared" ref="K29" si="42">K35</f>
        <v>774</v>
      </c>
      <c r="L29" s="26">
        <f t="shared" ref="L29" si="43">L35</f>
        <v>404</v>
      </c>
      <c r="M29" s="59">
        <f t="shared" ref="M29" si="44">M35</f>
        <v>222</v>
      </c>
      <c r="N29" s="26">
        <f t="shared" ref="N29" si="45">N35</f>
        <v>207</v>
      </c>
    </row>
    <row r="30" spans="1:14" x14ac:dyDescent="0.25">
      <c r="A30" s="18" t="s">
        <v>73</v>
      </c>
      <c r="B30" s="10">
        <f>SUM(B24:B26)-B28-B29</f>
        <v>16380</v>
      </c>
      <c r="C30" s="10">
        <f t="shared" ref="C30:I30" si="46">SUM(C24:C26)-C28-C29</f>
        <v>18633</v>
      </c>
      <c r="D30" s="10">
        <f t="shared" si="46"/>
        <v>17921</v>
      </c>
      <c r="E30" s="10">
        <f t="shared" si="46"/>
        <v>21193</v>
      </c>
      <c r="F30" s="10">
        <f t="shared" si="46"/>
        <v>19839</v>
      </c>
      <c r="G30" s="10">
        <f t="shared" si="46"/>
        <v>17178</v>
      </c>
      <c r="H30" s="10">
        <f t="shared" si="46"/>
        <v>12336</v>
      </c>
      <c r="I30" s="10">
        <f t="shared" si="46"/>
        <v>13206</v>
      </c>
      <c r="J30" s="10">
        <f t="shared" ref="J30" si="47">SUM(J24:J26)-J28-J29</f>
        <v>13449</v>
      </c>
      <c r="K30" s="10">
        <f t="shared" ref="K30" si="48">SUM(K24:K26)-K28-K29</f>
        <v>14096</v>
      </c>
      <c r="L30" s="28">
        <f t="shared" ref="L30" si="49">SUM(L24:L26)-L28-L29</f>
        <v>12888</v>
      </c>
      <c r="M30" s="10">
        <f t="shared" ref="M30" si="50">SUM(M24:M26)-M28-M29</f>
        <v>13189</v>
      </c>
      <c r="N30" s="28">
        <f t="shared" ref="N30" si="51">SUM(N24:N26)-N28-N29</f>
        <v>14669</v>
      </c>
    </row>
    <row r="31" spans="1:14" x14ac:dyDescent="0.25">
      <c r="B31" s="13">
        <v>39355</v>
      </c>
      <c r="C31" s="13">
        <v>39721</v>
      </c>
      <c r="D31" s="13">
        <v>40086</v>
      </c>
      <c r="E31" s="13">
        <v>40451</v>
      </c>
      <c r="F31" s="13">
        <v>40816</v>
      </c>
      <c r="G31" s="13">
        <v>41182</v>
      </c>
      <c r="H31" s="13">
        <v>41547</v>
      </c>
      <c r="I31" s="13">
        <v>41912</v>
      </c>
      <c r="J31" s="13">
        <v>42277</v>
      </c>
      <c r="K31" s="13">
        <v>42643</v>
      </c>
      <c r="L31" s="14">
        <f>L22</f>
        <v>43008</v>
      </c>
      <c r="M31" s="13">
        <f>M22</f>
        <v>43373</v>
      </c>
      <c r="N31" s="14">
        <f>N22</f>
        <v>43738</v>
      </c>
    </row>
    <row r="32" spans="1:14" x14ac:dyDescent="0.25">
      <c r="A32" s="17" t="s">
        <v>74</v>
      </c>
      <c r="B32" s="56">
        <f t="shared" ref="B32:E32" si="52">4314-B33</f>
        <v>519</v>
      </c>
      <c r="C32" s="56">
        <f t="shared" si="52"/>
        <v>456</v>
      </c>
      <c r="D32" s="56">
        <f t="shared" si="52"/>
        <v>412</v>
      </c>
      <c r="E32" s="56">
        <f t="shared" si="52"/>
        <v>506</v>
      </c>
      <c r="F32" s="56">
        <f>4314-F33</f>
        <v>936</v>
      </c>
      <c r="G32" s="59">
        <f>4314-G33</f>
        <v>764</v>
      </c>
      <c r="H32" s="56">
        <f>4314-H33</f>
        <v>875</v>
      </c>
      <c r="I32" s="59">
        <f>4314-I33</f>
        <v>733</v>
      </c>
      <c r="J32" s="59">
        <f>4529-J33</f>
        <v>789</v>
      </c>
      <c r="K32" s="59">
        <f>4570-K33</f>
        <v>807</v>
      </c>
      <c r="L32" s="26">
        <f>4813-L33</f>
        <v>1036</v>
      </c>
      <c r="M32" s="59">
        <f>4844-M33</f>
        <v>1043</v>
      </c>
      <c r="N32" s="26">
        <f>5029-N33</f>
        <v>1067</v>
      </c>
    </row>
    <row r="33" spans="1:14" x14ac:dyDescent="0.25">
      <c r="A33" s="15" t="s">
        <v>5</v>
      </c>
      <c r="B33" s="54">
        <v>3795</v>
      </c>
      <c r="C33" s="54">
        <v>3858</v>
      </c>
      <c r="D33" s="54">
        <v>3902</v>
      </c>
      <c r="E33" s="54">
        <v>3808</v>
      </c>
      <c r="F33" s="54">
        <v>3378</v>
      </c>
      <c r="G33" s="5">
        <v>3550</v>
      </c>
      <c r="H33" s="5">
        <v>3439</v>
      </c>
      <c r="I33" s="5">
        <v>3581</v>
      </c>
      <c r="J33" s="5">
        <v>3740</v>
      </c>
      <c r="K33" s="5">
        <v>3763</v>
      </c>
      <c r="L33" s="76">
        <v>3777</v>
      </c>
      <c r="M33" s="5">
        <v>3801</v>
      </c>
      <c r="N33" s="76">
        <v>3962</v>
      </c>
    </row>
    <row r="34" spans="1:14" x14ac:dyDescent="0.25">
      <c r="A34" s="15" t="s">
        <v>75</v>
      </c>
      <c r="B34" s="3">
        <v>9436</v>
      </c>
      <c r="C34" s="3">
        <v>12128</v>
      </c>
      <c r="D34" s="3">
        <v>13793</v>
      </c>
      <c r="E34" s="3">
        <v>16322</v>
      </c>
      <c r="F34" s="3">
        <v>12649</v>
      </c>
      <c r="G34" s="59">
        <v>6053</v>
      </c>
      <c r="H34" s="59">
        <v>7484</v>
      </c>
      <c r="I34" s="59">
        <v>8719</v>
      </c>
      <c r="J34" s="59">
        <v>8728</v>
      </c>
      <c r="K34" s="59">
        <v>8938</v>
      </c>
      <c r="L34" s="26">
        <v>7605</v>
      </c>
      <c r="M34" s="5">
        <f>7730-45</f>
        <v>7685</v>
      </c>
      <c r="N34" s="26">
        <f>8144-40</f>
        <v>8104</v>
      </c>
    </row>
    <row r="35" spans="1:14" x14ac:dyDescent="0.25">
      <c r="A35" s="15" t="s">
        <v>72</v>
      </c>
      <c r="B35" s="54">
        <v>983</v>
      </c>
      <c r="C35" s="54">
        <v>990</v>
      </c>
      <c r="D35" s="54">
        <v>1370</v>
      </c>
      <c r="E35" s="54">
        <v>1186</v>
      </c>
      <c r="F35" s="54">
        <v>1418</v>
      </c>
      <c r="G35" s="59">
        <v>1234</v>
      </c>
      <c r="H35" s="59">
        <v>2590</v>
      </c>
      <c r="I35" s="5">
        <v>1175</v>
      </c>
      <c r="J35" s="5">
        <v>932</v>
      </c>
      <c r="K35" s="5">
        <v>774</v>
      </c>
      <c r="L35" s="76">
        <v>404</v>
      </c>
      <c r="M35" s="5">
        <f>132+45+45</f>
        <v>222</v>
      </c>
      <c r="N35" s="76">
        <f>128+40+39</f>
        <v>207</v>
      </c>
    </row>
    <row r="36" spans="1:14" x14ac:dyDescent="0.25">
      <c r="A36" s="15" t="s">
        <v>76</v>
      </c>
      <c r="B36" s="3">
        <v>8864</v>
      </c>
      <c r="C36" s="3">
        <v>9494</v>
      </c>
      <c r="D36" s="3">
        <v>6735</v>
      </c>
      <c r="E36" s="3">
        <v>8262</v>
      </c>
      <c r="F36" s="3">
        <v>8105</v>
      </c>
      <c r="G36" s="59">
        <v>6367</v>
      </c>
      <c r="H36" s="59">
        <v>6351</v>
      </c>
      <c r="I36" s="59">
        <v>7529</v>
      </c>
      <c r="J36" s="59">
        <v>6945</v>
      </c>
      <c r="K36" s="59">
        <v>6341</v>
      </c>
      <c r="L36" s="26">
        <v>6957</v>
      </c>
      <c r="M36" s="59">
        <v>7359</v>
      </c>
      <c r="N36" s="26">
        <v>7781</v>
      </c>
    </row>
    <row r="37" spans="1:14" x14ac:dyDescent="0.25">
      <c r="A37" s="15" t="s">
        <v>77</v>
      </c>
      <c r="B37" s="3">
        <v>7577</v>
      </c>
      <c r="C37" s="3">
        <v>7885</v>
      </c>
      <c r="D37" s="3">
        <v>5120</v>
      </c>
      <c r="E37" s="3">
        <v>5882</v>
      </c>
      <c r="F37" s="3">
        <v>5138</v>
      </c>
      <c r="G37" s="59">
        <v>5126</v>
      </c>
      <c r="H37" s="59">
        <v>4956</v>
      </c>
      <c r="I37" s="59">
        <v>5808</v>
      </c>
      <c r="J37" s="59">
        <v>5118</v>
      </c>
      <c r="K37" s="59">
        <v>5003</v>
      </c>
      <c r="L37" s="26">
        <v>5734</v>
      </c>
      <c r="M37" s="59">
        <v>5163</v>
      </c>
      <c r="N37" s="26">
        <v>5488</v>
      </c>
    </row>
    <row r="38" spans="1:14" x14ac:dyDescent="0.25">
      <c r="A38" s="15" t="s">
        <v>78</v>
      </c>
      <c r="B38" s="3">
        <v>385</v>
      </c>
      <c r="C38" s="3">
        <v>467</v>
      </c>
      <c r="D38" s="3">
        <v>638</v>
      </c>
      <c r="E38" s="3">
        <v>590</v>
      </c>
      <c r="F38" s="3">
        <v>940</v>
      </c>
      <c r="G38" s="59">
        <v>1479</v>
      </c>
      <c r="H38" s="59">
        <v>1662</v>
      </c>
      <c r="I38" s="59">
        <v>1775</v>
      </c>
      <c r="J38" s="59">
        <v>2031</v>
      </c>
      <c r="K38" s="59">
        <v>2322</v>
      </c>
      <c r="L38" s="26">
        <v>1680</v>
      </c>
      <c r="M38" s="59">
        <v>1288</v>
      </c>
      <c r="N38" s="26">
        <v>1733</v>
      </c>
    </row>
    <row r="39" spans="1:14" x14ac:dyDescent="0.25">
      <c r="A39" s="15" t="s">
        <v>79</v>
      </c>
      <c r="B39" s="59">
        <f t="shared" ref="B39:I39" si="53">B41-B40-SUM(B32:B38)</f>
        <v>2654</v>
      </c>
      <c r="C39" s="59">
        <f t="shared" si="53"/>
        <v>3532</v>
      </c>
      <c r="D39" s="59">
        <f t="shared" si="53"/>
        <v>3851</v>
      </c>
      <c r="E39" s="59">
        <f t="shared" si="53"/>
        <v>3475</v>
      </c>
      <c r="F39" s="59">
        <f t="shared" si="53"/>
        <v>7466</v>
      </c>
      <c r="G39" s="59">
        <f t="shared" si="53"/>
        <v>11358</v>
      </c>
      <c r="H39" s="59">
        <f t="shared" si="53"/>
        <v>4107</v>
      </c>
      <c r="I39" s="59">
        <f t="shared" si="53"/>
        <v>3080</v>
      </c>
      <c r="J39" s="59">
        <f t="shared" ref="J39" si="54">J41-J40-SUM(J32:J38)</f>
        <v>2876</v>
      </c>
      <c r="K39" s="59">
        <f t="shared" ref="K39" si="55">K41-K40-SUM(K32:K38)</f>
        <v>3019</v>
      </c>
      <c r="L39" s="26">
        <f t="shared" ref="L39" si="56">L41-L40-SUM(L32:L38)</f>
        <v>2563</v>
      </c>
      <c r="M39" s="59">
        <f t="shared" ref="M39" si="57">M41-M40-SUM(M32:M38)</f>
        <v>4859</v>
      </c>
      <c r="N39" s="26">
        <f t="shared" ref="N39" si="58">N41-N40-SUM(N32:N38)</f>
        <v>4427</v>
      </c>
    </row>
    <row r="40" spans="1:14" x14ac:dyDescent="0.25">
      <c r="A40" s="15" t="s">
        <v>71</v>
      </c>
      <c r="B40" s="59">
        <f t="shared" ref="B40:J40" si="59">B28</f>
        <v>3861</v>
      </c>
      <c r="C40" s="59">
        <f t="shared" si="59"/>
        <v>2832</v>
      </c>
      <c r="D40" s="59">
        <f t="shared" si="59"/>
        <v>5546</v>
      </c>
      <c r="E40" s="59">
        <f t="shared" si="59"/>
        <v>3681</v>
      </c>
      <c r="F40" s="59">
        <f t="shared" si="59"/>
        <v>3573</v>
      </c>
      <c r="G40" s="4">
        <f t="shared" si="59"/>
        <v>2353</v>
      </c>
      <c r="H40" s="4">
        <f t="shared" si="59"/>
        <v>3833</v>
      </c>
      <c r="I40" s="4">
        <f t="shared" si="59"/>
        <v>4030</v>
      </c>
      <c r="J40" s="4">
        <f t="shared" si="59"/>
        <v>4535</v>
      </c>
      <c r="K40" s="4">
        <f t="shared" ref="K40" si="60">K28</f>
        <v>4105</v>
      </c>
      <c r="L40" s="27">
        <f t="shared" ref="L40" si="61">L28</f>
        <v>5292</v>
      </c>
      <c r="M40" s="4">
        <f t="shared" ref="M40" si="62">M28</f>
        <v>3006</v>
      </c>
      <c r="N40" s="27">
        <f t="shared" ref="N40" si="63">N28</f>
        <v>3706</v>
      </c>
    </row>
    <row r="41" spans="1:14" x14ac:dyDescent="0.25">
      <c r="A41" s="18" t="s">
        <v>80</v>
      </c>
      <c r="B41" s="10">
        <f t="shared" ref="B41:I41" si="64">B23</f>
        <v>38074</v>
      </c>
      <c r="C41" s="10">
        <f t="shared" si="64"/>
        <v>41642</v>
      </c>
      <c r="D41" s="10">
        <f t="shared" si="64"/>
        <v>41367</v>
      </c>
      <c r="E41" s="10">
        <f t="shared" si="64"/>
        <v>43712</v>
      </c>
      <c r="F41" s="10">
        <f t="shared" si="64"/>
        <v>43603</v>
      </c>
      <c r="G41" s="10">
        <f t="shared" si="64"/>
        <v>38284</v>
      </c>
      <c r="H41" s="10">
        <f t="shared" si="64"/>
        <v>35297</v>
      </c>
      <c r="I41" s="10">
        <f t="shared" si="64"/>
        <v>36430</v>
      </c>
      <c r="J41" s="10">
        <f t="shared" ref="J41" si="65">J23</f>
        <v>35694</v>
      </c>
      <c r="K41" s="10">
        <f t="shared" ref="K41" si="66">K23</f>
        <v>35072</v>
      </c>
      <c r="L41" s="28">
        <f t="shared" ref="L41" si="67">L23</f>
        <v>35048</v>
      </c>
      <c r="M41" s="10">
        <f t="shared" ref="M41" si="68">M23</f>
        <v>34426</v>
      </c>
      <c r="N41" s="28">
        <f t="shared" ref="N41" si="69">N23</f>
        <v>36475</v>
      </c>
    </row>
    <row r="42" spans="1:14" s="1" customFormat="1" x14ac:dyDescent="0.25">
      <c r="A42" s="19" t="s">
        <v>81</v>
      </c>
      <c r="B42" s="5">
        <v>696</v>
      </c>
      <c r="C42" s="3">
        <v>641</v>
      </c>
      <c r="D42" s="3">
        <v>792</v>
      </c>
      <c r="E42" s="3">
        <v>829</v>
      </c>
      <c r="F42" s="3">
        <v>451</v>
      </c>
      <c r="G42" s="59">
        <v>2100</v>
      </c>
      <c r="H42" s="59">
        <v>2607</v>
      </c>
      <c r="I42" s="59">
        <v>2624</v>
      </c>
      <c r="J42" s="59">
        <v>2673</v>
      </c>
      <c r="K42" s="59">
        <v>2333</v>
      </c>
      <c r="L42" s="26">
        <f>999+1540</f>
        <v>2539</v>
      </c>
      <c r="M42" s="59">
        <f>345+575+342+1573</f>
        <v>2835</v>
      </c>
      <c r="N42" s="26">
        <f>307+554+357+1726</f>
        <v>2944</v>
      </c>
    </row>
    <row r="43" spans="1:14" s="9" customFormat="1" x14ac:dyDescent="0.25">
      <c r="A43" s="19" t="s">
        <v>82</v>
      </c>
      <c r="B43" s="5">
        <v>4960</v>
      </c>
      <c r="C43" s="3">
        <v>5731</v>
      </c>
      <c r="D43" s="3">
        <v>4185</v>
      </c>
      <c r="E43" s="3">
        <v>5471</v>
      </c>
      <c r="F43" s="3">
        <v>6259</v>
      </c>
      <c r="G43" s="59">
        <v>3514</v>
      </c>
      <c r="H43" s="59">
        <v>3713</v>
      </c>
      <c r="I43" s="59">
        <v>4936</v>
      </c>
      <c r="J43" s="59">
        <v>4985</v>
      </c>
      <c r="K43" s="59">
        <v>5119</v>
      </c>
      <c r="L43" s="26">
        <v>5729</v>
      </c>
      <c r="M43" s="59">
        <v>6533</v>
      </c>
      <c r="N43" s="26">
        <v>6355</v>
      </c>
    </row>
    <row r="44" spans="1:14" s="9" customFormat="1" x14ac:dyDescent="0.25">
      <c r="A44" s="19" t="s">
        <v>83</v>
      </c>
      <c r="B44" s="5">
        <v>946</v>
      </c>
      <c r="C44" s="3">
        <v>1128</v>
      </c>
      <c r="D44" s="3">
        <v>307</v>
      </c>
      <c r="E44" s="3">
        <v>139</v>
      </c>
      <c r="F44" s="3">
        <v>324</v>
      </c>
      <c r="G44" s="59">
        <v>32</v>
      </c>
      <c r="H44" s="59">
        <v>52</v>
      </c>
      <c r="I44" s="59">
        <v>55</v>
      </c>
      <c r="J44" s="59">
        <v>53</v>
      </c>
      <c r="K44" s="59">
        <v>33</v>
      </c>
      <c r="L44" s="26">
        <v>111</v>
      </c>
      <c r="M44" s="59">
        <v>59</v>
      </c>
      <c r="N44" s="26">
        <v>48</v>
      </c>
    </row>
    <row r="45" spans="1:14" x14ac:dyDescent="0.25">
      <c r="A45" s="19" t="s">
        <v>84</v>
      </c>
      <c r="B45" s="5">
        <f t="shared" ref="B45:I45" si="70">B41-SUM(B42:B44)-SUM(B24:B26)</f>
        <v>10248</v>
      </c>
      <c r="C45" s="5">
        <f t="shared" si="70"/>
        <v>11687</v>
      </c>
      <c r="D45" s="5">
        <f t="shared" si="70"/>
        <v>11246</v>
      </c>
      <c r="E45" s="5">
        <f t="shared" si="70"/>
        <v>11213</v>
      </c>
      <c r="F45" s="5">
        <f t="shared" si="70"/>
        <v>11739</v>
      </c>
      <c r="G45" s="5">
        <f t="shared" si="70"/>
        <v>11873</v>
      </c>
      <c r="H45" s="5">
        <f t="shared" si="70"/>
        <v>10166</v>
      </c>
      <c r="I45" s="5">
        <f t="shared" si="70"/>
        <v>10404</v>
      </c>
      <c r="J45" s="5">
        <f t="shared" ref="J45" si="71">J41-SUM(J42:J44)-SUM(J24:J26)</f>
        <v>9067</v>
      </c>
      <c r="K45" s="5">
        <f t="shared" ref="K45" si="72">K41-SUM(K42:K44)-SUM(K24:K26)</f>
        <v>8612</v>
      </c>
      <c r="L45" s="76">
        <f t="shared" ref="L45" si="73">L41-SUM(L42:L44)-SUM(L24:L26)</f>
        <v>8085</v>
      </c>
      <c r="M45" s="5">
        <f t="shared" ref="M45" si="74">M41-SUM(M42:M44)-SUM(M24:M26)</f>
        <v>8582</v>
      </c>
      <c r="N45" s="76">
        <f t="shared" ref="N45" si="75">N41-SUM(N42:N44)-SUM(N24:N26)</f>
        <v>8546</v>
      </c>
    </row>
    <row r="46" spans="1:14" x14ac:dyDescent="0.25">
      <c r="A46" s="18" t="s">
        <v>70</v>
      </c>
      <c r="B46" s="10">
        <f>B41-SUM(B42:B45)</f>
        <v>21224</v>
      </c>
      <c r="C46" s="10">
        <f t="shared" ref="C46:I46" si="76">C41-SUM(C42:C45)</f>
        <v>22455</v>
      </c>
      <c r="D46" s="10">
        <f t="shared" si="76"/>
        <v>24837</v>
      </c>
      <c r="E46" s="10">
        <f t="shared" si="76"/>
        <v>26060</v>
      </c>
      <c r="F46" s="10">
        <f t="shared" si="76"/>
        <v>24830</v>
      </c>
      <c r="G46" s="10">
        <f t="shared" si="76"/>
        <v>20765</v>
      </c>
      <c r="H46" s="10">
        <f t="shared" si="76"/>
        <v>18759</v>
      </c>
      <c r="I46" s="10">
        <f t="shared" si="76"/>
        <v>18411</v>
      </c>
      <c r="J46" s="10">
        <f t="shared" ref="J46" si="77">J41-SUM(J42:J45)</f>
        <v>18916</v>
      </c>
      <c r="K46" s="10">
        <f t="shared" ref="K46" si="78">K41-SUM(K42:K45)</f>
        <v>18975</v>
      </c>
      <c r="L46" s="28">
        <f t="shared" ref="L46" si="79">L41-SUM(L42:L45)</f>
        <v>18584</v>
      </c>
      <c r="M46" s="10">
        <f t="shared" ref="M46" si="80">M41-SUM(M42:M45)</f>
        <v>16417</v>
      </c>
      <c r="N46" s="28">
        <f t="shared" ref="N46" si="81">N41-SUM(N42:N45)</f>
        <v>18582</v>
      </c>
    </row>
    <row r="47" spans="1:14" x14ac:dyDescent="0.25">
      <c r="A47" s="18" t="s">
        <v>73</v>
      </c>
      <c r="B47" s="10">
        <f>SUM(B32:B39)-SUM(B42:B45)-B35</f>
        <v>16380</v>
      </c>
      <c r="C47" s="10">
        <f t="shared" ref="C47:I47" si="82">SUM(C32:C39)-SUM(C42:C45)-C35</f>
        <v>18633</v>
      </c>
      <c r="D47" s="10">
        <f t="shared" si="82"/>
        <v>17921</v>
      </c>
      <c r="E47" s="10">
        <f t="shared" si="82"/>
        <v>21193</v>
      </c>
      <c r="F47" s="10">
        <f t="shared" si="82"/>
        <v>19839</v>
      </c>
      <c r="G47" s="10">
        <f t="shared" si="82"/>
        <v>17178</v>
      </c>
      <c r="H47" s="10">
        <f t="shared" si="82"/>
        <v>12336</v>
      </c>
      <c r="I47" s="10">
        <f t="shared" si="82"/>
        <v>13206</v>
      </c>
      <c r="J47" s="10">
        <f t="shared" ref="J47" si="83">SUM(J32:J39)-SUM(J42:J45)-J35</f>
        <v>13449</v>
      </c>
      <c r="K47" s="10">
        <f t="shared" ref="K47" si="84">SUM(K32:K39)-SUM(K42:K45)-K35</f>
        <v>14096</v>
      </c>
      <c r="L47" s="28">
        <f t="shared" ref="L47" si="85">SUM(L32:L39)-SUM(L42:L45)-L35</f>
        <v>12888</v>
      </c>
      <c r="M47" s="10">
        <f t="shared" ref="M47" si="86">SUM(M32:M39)-SUM(M42:M45)-M35</f>
        <v>13189</v>
      </c>
      <c r="N47" s="28">
        <f t="shared" ref="N47" si="87">SUM(N32:N39)-SUM(N42:N45)-N35</f>
        <v>14669</v>
      </c>
    </row>
    <row r="48" spans="1:14" s="182" customFormat="1" ht="12" x14ac:dyDescent="0.2">
      <c r="A48" s="180" t="s">
        <v>85</v>
      </c>
      <c r="B48" s="84">
        <f t="shared" ref="B48:I48" si="88">B30-B47</f>
        <v>0</v>
      </c>
      <c r="C48" s="84">
        <f t="shared" si="88"/>
        <v>0</v>
      </c>
      <c r="D48" s="84">
        <f t="shared" si="88"/>
        <v>0</v>
      </c>
      <c r="E48" s="84">
        <f t="shared" si="88"/>
        <v>0</v>
      </c>
      <c r="F48" s="84">
        <f t="shared" si="88"/>
        <v>0</v>
      </c>
      <c r="G48" s="94">
        <f t="shared" si="88"/>
        <v>0</v>
      </c>
      <c r="H48" s="181">
        <f t="shared" si="88"/>
        <v>0</v>
      </c>
      <c r="I48" s="181">
        <f t="shared" si="88"/>
        <v>0</v>
      </c>
      <c r="J48" s="181">
        <f t="shared" ref="J48" si="89">J30-J47</f>
        <v>0</v>
      </c>
      <c r="K48" s="181">
        <f t="shared" ref="K48" si="90">K30-K47</f>
        <v>0</v>
      </c>
      <c r="L48" s="181">
        <f t="shared" ref="L48" si="91">L30-L47</f>
        <v>0</v>
      </c>
      <c r="M48" s="181">
        <f t="shared" ref="M48" si="92">M30-M47</f>
        <v>0</v>
      </c>
      <c r="N48" s="181">
        <f t="shared" ref="N48" si="93">N30-N47</f>
        <v>0</v>
      </c>
    </row>
    <row r="49" spans="1:14" x14ac:dyDescent="0.25">
      <c r="A49" s="7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x14ac:dyDescent="0.25">
      <c r="A50" s="171"/>
      <c r="B50" s="81">
        <f t="shared" ref="B50:K50" si="94">B31</f>
        <v>39355</v>
      </c>
      <c r="C50" s="81">
        <f t="shared" si="94"/>
        <v>39721</v>
      </c>
      <c r="D50" s="81">
        <f t="shared" si="94"/>
        <v>40086</v>
      </c>
      <c r="E50" s="81">
        <f t="shared" si="94"/>
        <v>40451</v>
      </c>
      <c r="F50" s="81">
        <f t="shared" si="94"/>
        <v>40816</v>
      </c>
      <c r="G50" s="93">
        <f t="shared" si="94"/>
        <v>41182</v>
      </c>
      <c r="H50" s="81">
        <f t="shared" si="94"/>
        <v>41547</v>
      </c>
      <c r="I50" s="81">
        <f t="shared" si="94"/>
        <v>41912</v>
      </c>
      <c r="J50" s="93">
        <f t="shared" si="94"/>
        <v>42277</v>
      </c>
      <c r="K50" s="93">
        <f t="shared" si="94"/>
        <v>42643</v>
      </c>
      <c r="L50" s="81">
        <f>L22</f>
        <v>43008</v>
      </c>
      <c r="M50" s="93">
        <f>M22</f>
        <v>43373</v>
      </c>
      <c r="N50" s="81">
        <f>N22</f>
        <v>43738</v>
      </c>
    </row>
    <row r="51" spans="1:14" x14ac:dyDescent="0.25">
      <c r="A51" s="85" t="s">
        <v>86</v>
      </c>
      <c r="B51" s="55">
        <f t="shared" ref="B51:N51" si="95">SUM(B32:B35)</f>
        <v>14733</v>
      </c>
      <c r="C51" s="56">
        <f t="shared" si="95"/>
        <v>17432</v>
      </c>
      <c r="D51" s="56">
        <f t="shared" si="95"/>
        <v>19477</v>
      </c>
      <c r="E51" s="56">
        <f t="shared" si="95"/>
        <v>21822</v>
      </c>
      <c r="F51" s="56">
        <f t="shared" si="95"/>
        <v>18381</v>
      </c>
      <c r="G51" s="56">
        <f t="shared" si="95"/>
        <v>11601</v>
      </c>
      <c r="H51" s="56">
        <f t="shared" si="95"/>
        <v>14388</v>
      </c>
      <c r="I51" s="56">
        <f t="shared" si="95"/>
        <v>14208</v>
      </c>
      <c r="J51" s="56">
        <f t="shared" si="95"/>
        <v>14189</v>
      </c>
      <c r="K51" s="56">
        <f t="shared" si="95"/>
        <v>14282</v>
      </c>
      <c r="L51" s="57">
        <f t="shared" si="95"/>
        <v>12822</v>
      </c>
      <c r="M51" s="56">
        <f t="shared" si="95"/>
        <v>12751</v>
      </c>
      <c r="N51" s="57">
        <f t="shared" si="95"/>
        <v>13340</v>
      </c>
    </row>
    <row r="52" spans="1:14" x14ac:dyDescent="0.25">
      <c r="A52" s="86" t="s">
        <v>87</v>
      </c>
      <c r="B52" s="58">
        <f t="shared" ref="B52:N52" si="96">B36+B37-B43</f>
        <v>11481</v>
      </c>
      <c r="C52" s="59">
        <f t="shared" si="96"/>
        <v>11648</v>
      </c>
      <c r="D52" s="59">
        <f t="shared" si="96"/>
        <v>7670</v>
      </c>
      <c r="E52" s="59">
        <f t="shared" si="96"/>
        <v>8673</v>
      </c>
      <c r="F52" s="59">
        <f t="shared" si="96"/>
        <v>6984</v>
      </c>
      <c r="G52" s="59">
        <f t="shared" si="96"/>
        <v>7979</v>
      </c>
      <c r="H52" s="59">
        <f t="shared" si="96"/>
        <v>7594</v>
      </c>
      <c r="I52" s="59">
        <f t="shared" si="96"/>
        <v>8401</v>
      </c>
      <c r="J52" s="59">
        <f t="shared" si="96"/>
        <v>7078</v>
      </c>
      <c r="K52" s="59">
        <f t="shared" si="96"/>
        <v>6225</v>
      </c>
      <c r="L52" s="26">
        <f t="shared" si="96"/>
        <v>6962</v>
      </c>
      <c r="M52" s="59">
        <f t="shared" si="96"/>
        <v>5989</v>
      </c>
      <c r="N52" s="26">
        <f t="shared" si="96"/>
        <v>6914</v>
      </c>
    </row>
    <row r="53" spans="1:14" x14ac:dyDescent="0.25">
      <c r="A53" s="86" t="s">
        <v>88</v>
      </c>
      <c r="B53" s="58">
        <f>B55-B51-B52-B54</f>
        <v>-8851</v>
      </c>
      <c r="C53" s="59">
        <f t="shared" ref="C53:I53" si="97">C55-C51-C52-C54</f>
        <v>-9457</v>
      </c>
      <c r="D53" s="59">
        <f t="shared" si="97"/>
        <v>-7856</v>
      </c>
      <c r="E53" s="59">
        <f t="shared" si="97"/>
        <v>-8116</v>
      </c>
      <c r="F53" s="59">
        <f t="shared" si="97"/>
        <v>-4108</v>
      </c>
      <c r="G53" s="59">
        <f t="shared" si="97"/>
        <v>-1168</v>
      </c>
      <c r="H53" s="59">
        <f t="shared" si="97"/>
        <v>-7056</v>
      </c>
      <c r="I53" s="59">
        <f t="shared" si="97"/>
        <v>-8228</v>
      </c>
      <c r="J53" s="59">
        <f t="shared" ref="J53" si="98">J55-J51-J52-J54</f>
        <v>-6886</v>
      </c>
      <c r="K53" s="59">
        <f t="shared" ref="K53" si="99">K55-K51-K52-K54</f>
        <v>-5637</v>
      </c>
      <c r="L53" s="26">
        <f t="shared" ref="L53" si="100">L55-L51-L52-L54</f>
        <v>-6492</v>
      </c>
      <c r="M53" s="59">
        <f t="shared" ref="M53" si="101">M55-M51-M52-M54</f>
        <v>-5329</v>
      </c>
      <c r="N53" s="26">
        <f t="shared" ref="N53" si="102">N55-N51-N52-N54</f>
        <v>-5378</v>
      </c>
    </row>
    <row r="54" spans="1:14" x14ac:dyDescent="0.25">
      <c r="A54" s="86" t="s">
        <v>71</v>
      </c>
      <c r="B54" s="58">
        <f t="shared" ref="B54:N54" si="103">B28</f>
        <v>3861</v>
      </c>
      <c r="C54" s="59">
        <f t="shared" si="103"/>
        <v>2832</v>
      </c>
      <c r="D54" s="59">
        <f t="shared" si="103"/>
        <v>5546</v>
      </c>
      <c r="E54" s="59">
        <f t="shared" si="103"/>
        <v>3681</v>
      </c>
      <c r="F54" s="59">
        <f t="shared" si="103"/>
        <v>3573</v>
      </c>
      <c r="G54" s="59">
        <f t="shared" si="103"/>
        <v>2353</v>
      </c>
      <c r="H54" s="59">
        <f t="shared" si="103"/>
        <v>3833</v>
      </c>
      <c r="I54" s="59">
        <f t="shared" si="103"/>
        <v>4030</v>
      </c>
      <c r="J54" s="59">
        <f t="shared" si="103"/>
        <v>4535</v>
      </c>
      <c r="K54" s="59">
        <f t="shared" si="103"/>
        <v>4105</v>
      </c>
      <c r="L54" s="26">
        <f t="shared" si="103"/>
        <v>5292</v>
      </c>
      <c r="M54" s="59">
        <f t="shared" si="103"/>
        <v>3006</v>
      </c>
      <c r="N54" s="26">
        <f t="shared" si="103"/>
        <v>3706</v>
      </c>
    </row>
    <row r="55" spans="1:14" x14ac:dyDescent="0.25">
      <c r="A55" s="18" t="s">
        <v>89</v>
      </c>
      <c r="B55" s="87">
        <f t="shared" ref="B55:N55" si="104">B27</f>
        <v>21224</v>
      </c>
      <c r="C55" s="10">
        <f t="shared" si="104"/>
        <v>22455</v>
      </c>
      <c r="D55" s="10">
        <f t="shared" si="104"/>
        <v>24837</v>
      </c>
      <c r="E55" s="10">
        <f t="shared" si="104"/>
        <v>26060</v>
      </c>
      <c r="F55" s="10">
        <f t="shared" si="104"/>
        <v>24830</v>
      </c>
      <c r="G55" s="10">
        <f t="shared" si="104"/>
        <v>20765</v>
      </c>
      <c r="H55" s="10">
        <f t="shared" si="104"/>
        <v>18759</v>
      </c>
      <c r="I55" s="10">
        <f t="shared" si="104"/>
        <v>18411</v>
      </c>
      <c r="J55" s="10">
        <f t="shared" si="104"/>
        <v>18916</v>
      </c>
      <c r="K55" s="10">
        <f t="shared" si="104"/>
        <v>18975</v>
      </c>
      <c r="L55" s="28">
        <f t="shared" si="104"/>
        <v>18584</v>
      </c>
      <c r="M55" s="10">
        <f t="shared" si="104"/>
        <v>16417</v>
      </c>
      <c r="N55" s="28">
        <f t="shared" si="104"/>
        <v>18582</v>
      </c>
    </row>
    <row r="56" spans="1:14" x14ac:dyDescent="0.25">
      <c r="A56" s="86" t="s">
        <v>67</v>
      </c>
      <c r="B56" s="58">
        <f t="shared" ref="B56:N56" si="105">B24</f>
        <v>10447</v>
      </c>
      <c r="C56" s="59">
        <f t="shared" si="105"/>
        <v>11489</v>
      </c>
      <c r="D56" s="59">
        <f t="shared" si="105"/>
        <v>9696</v>
      </c>
      <c r="E56" s="59">
        <f t="shared" si="105"/>
        <v>10388</v>
      </c>
      <c r="F56" s="59">
        <f t="shared" si="105"/>
        <v>10382</v>
      </c>
      <c r="G56" s="59">
        <f t="shared" si="105"/>
        <v>4526</v>
      </c>
      <c r="H56" s="59">
        <f t="shared" si="105"/>
        <v>2512</v>
      </c>
      <c r="I56" s="59">
        <f t="shared" si="105"/>
        <v>3199</v>
      </c>
      <c r="J56" s="59">
        <f t="shared" si="105"/>
        <v>3307</v>
      </c>
      <c r="K56" s="59">
        <f t="shared" si="105"/>
        <v>2609</v>
      </c>
      <c r="L56" s="26">
        <f t="shared" si="105"/>
        <v>3404</v>
      </c>
      <c r="M56" s="59">
        <f t="shared" si="105"/>
        <v>3203</v>
      </c>
      <c r="N56" s="26">
        <f t="shared" si="105"/>
        <v>2220</v>
      </c>
    </row>
    <row r="57" spans="1:14" x14ac:dyDescent="0.25">
      <c r="A57" s="86" t="s">
        <v>68</v>
      </c>
      <c r="B57" s="58">
        <f t="shared" ref="B57:N57" si="106">B25</f>
        <v>3638</v>
      </c>
      <c r="C57" s="59">
        <f t="shared" si="106"/>
        <v>4416</v>
      </c>
      <c r="D57" s="59">
        <f t="shared" si="106"/>
        <v>7604</v>
      </c>
      <c r="E57" s="59">
        <f t="shared" si="106"/>
        <v>7461</v>
      </c>
      <c r="F57" s="59">
        <f t="shared" si="106"/>
        <v>7151</v>
      </c>
      <c r="G57" s="59">
        <f t="shared" si="106"/>
        <v>8153</v>
      </c>
      <c r="H57" s="59">
        <f t="shared" si="106"/>
        <v>8871</v>
      </c>
      <c r="I57" s="59">
        <f t="shared" si="106"/>
        <v>7722</v>
      </c>
      <c r="J57" s="59">
        <f t="shared" si="106"/>
        <v>7955</v>
      </c>
      <c r="K57" s="59">
        <f t="shared" si="106"/>
        <v>7612</v>
      </c>
      <c r="L57" s="26">
        <f t="shared" si="106"/>
        <v>7256</v>
      </c>
      <c r="M57" s="59">
        <f t="shared" si="106"/>
        <v>5376</v>
      </c>
      <c r="N57" s="26">
        <f t="shared" si="106"/>
        <v>7415</v>
      </c>
    </row>
    <row r="58" spans="1:14" x14ac:dyDescent="0.25">
      <c r="A58" s="86" t="s">
        <v>69</v>
      </c>
      <c r="B58" s="58">
        <f t="shared" ref="B58:N58" si="107">B26</f>
        <v>7139</v>
      </c>
      <c r="C58" s="59">
        <f t="shared" si="107"/>
        <v>6550</v>
      </c>
      <c r="D58" s="59">
        <f t="shared" si="107"/>
        <v>7537</v>
      </c>
      <c r="E58" s="59">
        <f t="shared" si="107"/>
        <v>8211</v>
      </c>
      <c r="F58" s="59">
        <f t="shared" si="107"/>
        <v>7297</v>
      </c>
      <c r="G58" s="59">
        <f t="shared" si="107"/>
        <v>8086</v>
      </c>
      <c r="H58" s="59">
        <f t="shared" si="107"/>
        <v>7376</v>
      </c>
      <c r="I58" s="59">
        <f t="shared" si="107"/>
        <v>7490</v>
      </c>
      <c r="J58" s="59">
        <f t="shared" si="107"/>
        <v>7654</v>
      </c>
      <c r="K58" s="59">
        <f t="shared" si="107"/>
        <v>8754</v>
      </c>
      <c r="L58" s="26">
        <f t="shared" si="107"/>
        <v>7924</v>
      </c>
      <c r="M58" s="59">
        <f t="shared" si="107"/>
        <v>7838</v>
      </c>
      <c r="N58" s="26">
        <f t="shared" si="107"/>
        <v>8947</v>
      </c>
    </row>
    <row r="59" spans="1:14" x14ac:dyDescent="0.25">
      <c r="A59" s="18" t="s">
        <v>89</v>
      </c>
      <c r="B59" s="87">
        <f>SUM(B56:B58)</f>
        <v>21224</v>
      </c>
      <c r="C59" s="10">
        <f t="shared" ref="C59:I59" si="108">SUM(C56:C58)</f>
        <v>22455</v>
      </c>
      <c r="D59" s="10">
        <f t="shared" si="108"/>
        <v>24837</v>
      </c>
      <c r="E59" s="10">
        <f t="shared" si="108"/>
        <v>26060</v>
      </c>
      <c r="F59" s="10">
        <f t="shared" si="108"/>
        <v>24830</v>
      </c>
      <c r="G59" s="10">
        <f t="shared" si="108"/>
        <v>20765</v>
      </c>
      <c r="H59" s="10">
        <f t="shared" si="108"/>
        <v>18759</v>
      </c>
      <c r="I59" s="10">
        <f t="shared" si="108"/>
        <v>18411</v>
      </c>
      <c r="J59" s="10">
        <f t="shared" ref="J59" si="109">SUM(J56:J58)</f>
        <v>18916</v>
      </c>
      <c r="K59" s="10">
        <f t="shared" ref="K59" si="110">SUM(K56:K58)</f>
        <v>18975</v>
      </c>
      <c r="L59" s="28">
        <f t="shared" ref="L59" si="111">SUM(L56:L58)</f>
        <v>18584</v>
      </c>
      <c r="M59" s="10">
        <f t="shared" ref="M59" si="112">SUM(M56:M58)</f>
        <v>16417</v>
      </c>
      <c r="N59" s="28">
        <f t="shared" ref="N59" si="113">SUM(N56:N58)</f>
        <v>18582</v>
      </c>
    </row>
    <row r="60" spans="1:14" x14ac:dyDescent="0.25">
      <c r="A60" s="83"/>
      <c r="B60" s="84"/>
      <c r="C60" s="84"/>
      <c r="D60" s="84"/>
      <c r="E60" s="84"/>
      <c r="F60" s="84"/>
      <c r="G60" s="94"/>
      <c r="H60" s="84"/>
      <c r="I60" s="84"/>
      <c r="J60" s="94"/>
      <c r="K60" s="94"/>
      <c r="L60" s="84"/>
      <c r="M60" s="94"/>
      <c r="N60" s="84"/>
    </row>
    <row r="61" spans="1:14" x14ac:dyDescent="0.25">
      <c r="A61" s="23" t="s">
        <v>90</v>
      </c>
      <c r="B61" s="88">
        <f>B23-B27</f>
        <v>16850</v>
      </c>
      <c r="C61" s="21">
        <f t="shared" ref="C61:I61" si="114">C23-C27</f>
        <v>19187</v>
      </c>
      <c r="D61" s="21">
        <f t="shared" si="114"/>
        <v>16530</v>
      </c>
      <c r="E61" s="21">
        <f t="shared" si="114"/>
        <v>17652</v>
      </c>
      <c r="F61" s="21">
        <f t="shared" si="114"/>
        <v>18773</v>
      </c>
      <c r="G61" s="21">
        <f t="shared" si="114"/>
        <v>17519</v>
      </c>
      <c r="H61" s="21">
        <f t="shared" si="114"/>
        <v>16538</v>
      </c>
      <c r="I61" s="21">
        <f t="shared" si="114"/>
        <v>18019</v>
      </c>
      <c r="J61" s="21">
        <f t="shared" ref="J61" si="115">J23-J27</f>
        <v>16778</v>
      </c>
      <c r="K61" s="21">
        <f t="shared" ref="K61" si="116">K23-K27</f>
        <v>16097</v>
      </c>
      <c r="L61" s="22">
        <f t="shared" ref="L61" si="117">L23-L27</f>
        <v>16464</v>
      </c>
      <c r="M61" s="21">
        <f t="shared" ref="M61" si="118">M23-M27</f>
        <v>18009</v>
      </c>
      <c r="N61" s="22">
        <f t="shared" ref="N61" si="119">N23-N27</f>
        <v>17893</v>
      </c>
    </row>
    <row r="62" spans="1:14" x14ac:dyDescent="0.25">
      <c r="A62" s="82" t="s">
        <v>91</v>
      </c>
      <c r="M62" s="139" t="s">
        <v>54</v>
      </c>
    </row>
  </sheetData>
  <pageMargins left="0.7" right="0.7" top="0.78740157499999996" bottom="0.78740157499999996" header="0.3" footer="0.3"/>
  <pageSetup paperSize="9" scale="54" orientation="landscape" r:id="rId1"/>
  <headerFooter>
    <oddFooter>&amp;L&amp;9DT &lt;&amp;F/&amp;A&gt; &amp;D &amp;T</oddFooter>
  </headerFooter>
  <ignoredErrors>
    <ignoredError sqref="B51:I51 B39:I39 B30 B45:I45 B27:I27 C30:I30 B28:H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N62"/>
  <sheetViews>
    <sheetView zoomScaleNormal="100" workbookViewId="0"/>
  </sheetViews>
  <sheetFormatPr baseColWidth="10" defaultRowHeight="15" x14ac:dyDescent="0.25"/>
  <cols>
    <col min="1" max="1" width="27.42578125" customWidth="1"/>
    <col min="3" max="11" width="11.42578125" customWidth="1"/>
  </cols>
  <sheetData>
    <row r="1" spans="1:14" x14ac:dyDescent="0.25">
      <c r="A1" s="1" t="s">
        <v>23</v>
      </c>
      <c r="B1" s="2"/>
      <c r="C1" s="31">
        <v>2008</v>
      </c>
      <c r="D1" s="11">
        <v>2009</v>
      </c>
      <c r="E1" s="11">
        <v>2010</v>
      </c>
      <c r="F1" s="11">
        <v>2011</v>
      </c>
      <c r="G1" s="79">
        <v>2012</v>
      </c>
      <c r="H1" s="79">
        <v>2013</v>
      </c>
      <c r="I1" s="79">
        <v>2014</v>
      </c>
      <c r="J1" s="79">
        <v>2015</v>
      </c>
      <c r="K1" s="79">
        <v>2016</v>
      </c>
      <c r="L1" s="75">
        <v>2017</v>
      </c>
      <c r="M1" s="79">
        <v>2018</v>
      </c>
      <c r="N1" s="75">
        <v>2019</v>
      </c>
    </row>
    <row r="2" spans="1:14" x14ac:dyDescent="0.25">
      <c r="A2" t="s">
        <v>92</v>
      </c>
      <c r="B2" s="17" t="s">
        <v>6</v>
      </c>
      <c r="C2" s="32">
        <f t="shared" ref="C2:N2" si="0">C20/B24</f>
        <v>0.19867013197421271</v>
      </c>
      <c r="D2" s="33">
        <f t="shared" si="0"/>
        <v>9.1197954711468229E-2</v>
      </c>
      <c r="E2" s="33">
        <f t="shared" si="0"/>
        <v>0.14908198043024151</v>
      </c>
      <c r="F2" s="33">
        <f t="shared" si="0"/>
        <v>0.21724635688754468</v>
      </c>
      <c r="G2" s="33">
        <f t="shared" si="0"/>
        <v>0.14274163453165817</v>
      </c>
      <c r="H2" s="33">
        <f t="shared" si="0"/>
        <v>0.14085361957702383</v>
      </c>
      <c r="I2" s="33">
        <f t="shared" si="0"/>
        <v>0.19238427947598252</v>
      </c>
      <c r="J2" s="33">
        <f t="shared" si="0"/>
        <v>0.23418163355968777</v>
      </c>
      <c r="K2" s="33">
        <f t="shared" si="0"/>
        <v>0.15928799634869922</v>
      </c>
      <c r="L2" s="34">
        <f t="shared" si="0"/>
        <v>0.17503446691176472</v>
      </c>
      <c r="M2" s="33">
        <f t="shared" si="0"/>
        <v>0.13716129899818463</v>
      </c>
      <c r="N2" s="34">
        <f t="shared" si="0"/>
        <v>0.11755401073970778</v>
      </c>
    </row>
    <row r="3" spans="1:14" x14ac:dyDescent="0.25">
      <c r="B3" s="17" t="s">
        <v>7</v>
      </c>
      <c r="C3" s="32">
        <f t="shared" ref="C3:I3" si="1">C20/C15</f>
        <v>8.4596921396438485E-2</v>
      </c>
      <c r="D3" s="33">
        <f t="shared" si="1"/>
        <v>3.5644440637802803E-2</v>
      </c>
      <c r="E3" s="33">
        <f t="shared" si="1"/>
        <v>5.9103853083047594E-2</v>
      </c>
      <c r="F3" s="33">
        <f t="shared" si="1"/>
        <v>8.626407369498465E-2</v>
      </c>
      <c r="G3" s="33">
        <f t="shared" si="1"/>
        <v>5.8623684479411464E-2</v>
      </c>
      <c r="H3" s="33">
        <f t="shared" si="1"/>
        <v>6.0031315950711414E-2</v>
      </c>
      <c r="I3" s="33">
        <f t="shared" si="1"/>
        <v>7.73161862776756E-2</v>
      </c>
      <c r="J3" s="33">
        <f t="shared" ref="J3" si="2">J20/J15</f>
        <v>9.757258448357925E-2</v>
      </c>
      <c r="K3" s="33">
        <f t="shared" ref="K3" si="3">K20/K15</f>
        <v>7.0111998392848179E-2</v>
      </c>
      <c r="L3" s="34">
        <f t="shared" ref="L3" si="4">L20/L15</f>
        <v>7.3543077127306525E-2</v>
      </c>
      <c r="M3" s="33">
        <f t="shared" ref="M3" si="5">M20/M15</f>
        <v>7.3695872067819468E-2</v>
      </c>
      <c r="N3" s="34">
        <f t="shared" ref="N3" si="6">N20/N15</f>
        <v>6.5032412578152884E-2</v>
      </c>
    </row>
    <row r="4" spans="1:14" x14ac:dyDescent="0.25">
      <c r="B4" s="15" t="s">
        <v>11</v>
      </c>
      <c r="C4" s="35">
        <f t="shared" ref="C4:N4" si="7">C15/((B27+C27)/2)</f>
        <v>1.4537002214700598</v>
      </c>
      <c r="D4" s="36">
        <f t="shared" si="7"/>
        <v>1.3915556747415154</v>
      </c>
      <c r="E4" s="36">
        <f t="shared" si="7"/>
        <v>1.2476073085846868</v>
      </c>
      <c r="F4" s="36">
        <f t="shared" si="7"/>
        <v>1.275723388697378</v>
      </c>
      <c r="G4" s="36">
        <f t="shared" si="7"/>
        <v>1.3121721496924701</v>
      </c>
      <c r="H4" s="36">
        <f t="shared" si="7"/>
        <v>1.2212540946806565</v>
      </c>
      <c r="I4" s="36">
        <f t="shared" si="7"/>
        <v>1.1858616297751545</v>
      </c>
      <c r="J4" s="36">
        <f t="shared" si="7"/>
        <v>1.1097482246610717</v>
      </c>
      <c r="K4" s="36">
        <f t="shared" si="7"/>
        <v>1.0342973650377258</v>
      </c>
      <c r="L4" s="37">
        <f t="shared" si="7"/>
        <v>0.99893311151697073</v>
      </c>
      <c r="M4" s="36">
        <f t="shared" si="7"/>
        <v>0.95271091939517705</v>
      </c>
      <c r="N4" s="37">
        <f t="shared" si="7"/>
        <v>0.93771695413933653</v>
      </c>
    </row>
    <row r="5" spans="1:14" x14ac:dyDescent="0.25">
      <c r="B5" s="16" t="s">
        <v>8</v>
      </c>
      <c r="C5" s="50">
        <f t="shared" ref="C5:N5" si="8">((B27+C27)/2)/B24</f>
        <v>1.6154858743713505</v>
      </c>
      <c r="D5" s="51">
        <f t="shared" si="8"/>
        <v>1.8386230825420014</v>
      </c>
      <c r="E5" s="51">
        <f t="shared" si="8"/>
        <v>2.0217686077619379</v>
      </c>
      <c r="F5" s="51">
        <f t="shared" si="8"/>
        <v>1.9740857849876272</v>
      </c>
      <c r="G5" s="51">
        <f t="shared" si="8"/>
        <v>1.8556101505162335</v>
      </c>
      <c r="H5" s="51">
        <f t="shared" si="8"/>
        <v>1.9212510382723149</v>
      </c>
      <c r="I5" s="51">
        <f t="shared" si="8"/>
        <v>2.098288209606987</v>
      </c>
      <c r="J5" s="51">
        <f t="shared" si="8"/>
        <v>2.1627213302024497</v>
      </c>
      <c r="K5" s="51">
        <f t="shared" si="8"/>
        <v>2.1965712003651299</v>
      </c>
      <c r="L5" s="52">
        <f t="shared" si="8"/>
        <v>2.382568359375</v>
      </c>
      <c r="M5" s="51">
        <f t="shared" si="8"/>
        <v>1.9535623837378695</v>
      </c>
      <c r="N5" s="52">
        <f t="shared" si="8"/>
        <v>1.9276838862756525</v>
      </c>
    </row>
    <row r="6" spans="1:14" s="9" customFormat="1" ht="11.25" x14ac:dyDescent="0.2">
      <c r="B6" s="29" t="s">
        <v>85</v>
      </c>
      <c r="C6" s="38">
        <f t="shared" ref="C6:I6" si="9">C3*C4*C5</f>
        <v>0.19867013197421274</v>
      </c>
      <c r="D6" s="39">
        <f t="shared" si="9"/>
        <v>9.1197954711468202E-2</v>
      </c>
      <c r="E6" s="39">
        <f t="shared" si="9"/>
        <v>0.14908198043024151</v>
      </c>
      <c r="F6" s="39">
        <f t="shared" si="9"/>
        <v>0.21724635688754468</v>
      </c>
      <c r="G6" s="39">
        <f t="shared" si="9"/>
        <v>0.14274163453165817</v>
      </c>
      <c r="H6" s="39">
        <f t="shared" si="9"/>
        <v>0.14085361957702383</v>
      </c>
      <c r="I6" s="39">
        <f t="shared" si="9"/>
        <v>0.19238427947598252</v>
      </c>
      <c r="J6" s="39">
        <f t="shared" ref="J6" si="10">J3*J4*J5</f>
        <v>0.23418163355968777</v>
      </c>
      <c r="K6" s="39">
        <f t="shared" ref="K6" si="11">K3*K4*K5</f>
        <v>0.15928799634869925</v>
      </c>
      <c r="L6" s="40">
        <f t="shared" ref="L6" si="12">L3*L4*L5</f>
        <v>0.17503446691176472</v>
      </c>
      <c r="M6" s="39">
        <f t="shared" ref="M6" si="13">M3*M4*M5</f>
        <v>0.13716129899818463</v>
      </c>
      <c r="N6" s="40">
        <f t="shared" ref="N6" si="14">N3*N4*N5</f>
        <v>0.11755401073970777</v>
      </c>
    </row>
    <row r="7" spans="1:14" x14ac:dyDescent="0.25">
      <c r="B7" s="20" t="s">
        <v>9</v>
      </c>
      <c r="C7" s="44">
        <f t="shared" ref="C7:N7" si="15">C17/((B30+C30)/2)</f>
        <v>8.9103423616697958E-2</v>
      </c>
      <c r="D7" s="45">
        <f t="shared" si="15"/>
        <v>0.2428869372213612</v>
      </c>
      <c r="E7" s="45">
        <f t="shared" si="15"/>
        <v>0.22124572262009387</v>
      </c>
      <c r="F7" s="45">
        <f t="shared" si="15"/>
        <v>0.30793881467404466</v>
      </c>
      <c r="G7" s="45">
        <f t="shared" si="15"/>
        <v>0.24218145556453416</v>
      </c>
      <c r="H7" s="45">
        <f t="shared" si="15"/>
        <v>0.25843430549658708</v>
      </c>
      <c r="I7" s="45">
        <f t="shared" si="15"/>
        <v>0.23618742490989186</v>
      </c>
      <c r="J7" s="45">
        <f t="shared" si="15"/>
        <v>0.26447383042560285</v>
      </c>
      <c r="K7" s="45">
        <f t="shared" si="15"/>
        <v>0.17666929532373676</v>
      </c>
      <c r="L7" s="46">
        <f t="shared" si="15"/>
        <v>0.1491367168647999</v>
      </c>
      <c r="M7" s="45">
        <f t="shared" si="15"/>
        <v>0.10976928942561756</v>
      </c>
      <c r="N7" s="46">
        <f t="shared" si="15"/>
        <v>0.1158244870258812</v>
      </c>
    </row>
    <row r="8" spans="1:14" x14ac:dyDescent="0.25">
      <c r="B8" s="17" t="s">
        <v>10</v>
      </c>
      <c r="C8" s="32">
        <f t="shared" ref="C8:I8" si="16">C17/C15</f>
        <v>3.5816433591560427E-2</v>
      </c>
      <c r="D8" s="33">
        <f t="shared" si="16"/>
        <v>9.0602829286397443E-2</v>
      </c>
      <c r="E8" s="33">
        <f t="shared" si="16"/>
        <v>8.5953391061777185E-2</v>
      </c>
      <c r="F8" s="33">
        <f t="shared" si="16"/>
        <v>0.11278062094848175</v>
      </c>
      <c r="G8" s="33">
        <f t="shared" si="16"/>
        <v>8.995350975784204E-2</v>
      </c>
      <c r="H8" s="33">
        <f t="shared" si="16"/>
        <v>0.10774048607801756</v>
      </c>
      <c r="I8" s="33">
        <f t="shared" si="16"/>
        <v>0.10350007721790894</v>
      </c>
      <c r="J8" s="33">
        <f t="shared" ref="J8" si="17">J17/J15</f>
        <v>0.12586598974033528</v>
      </c>
      <c r="K8" s="33">
        <f t="shared" ref="K8" si="18">K17/K15</f>
        <v>9.4231831650846268E-2</v>
      </c>
      <c r="L8" s="34">
        <f t="shared" ref="L8" si="19">L17/L15</f>
        <v>9.1367679181299247E-2</v>
      </c>
      <c r="M8" s="132">
        <f t="shared" ref="M8" si="20">M17/M15</f>
        <v>7.4538798709118059E-2</v>
      </c>
      <c r="N8" s="131">
        <f t="shared" ref="N8" si="21">N17/N15</f>
        <v>7.9586408594226762E-2</v>
      </c>
    </row>
    <row r="9" spans="1:14" x14ac:dyDescent="0.25">
      <c r="B9" s="16" t="s">
        <v>30</v>
      </c>
      <c r="C9" s="47">
        <f t="shared" ref="C9:N9" si="22">C15/((B30+C30)/2)</f>
        <v>2.4877804594618755</v>
      </c>
      <c r="D9" s="48">
        <f t="shared" si="22"/>
        <v>2.6807875552494118</v>
      </c>
      <c r="E9" s="48">
        <f t="shared" si="22"/>
        <v>2.5740197086706931</v>
      </c>
      <c r="F9" s="48">
        <f t="shared" si="22"/>
        <v>2.7304231177687104</v>
      </c>
      <c r="G9" s="48">
        <f t="shared" si="22"/>
        <v>2.6922957894193904</v>
      </c>
      <c r="H9" s="48">
        <f t="shared" si="22"/>
        <v>2.3986740259316113</v>
      </c>
      <c r="I9" s="48">
        <f t="shared" si="22"/>
        <v>2.2820024028834602</v>
      </c>
      <c r="J9" s="48">
        <f t="shared" si="22"/>
        <v>2.1012334703855986</v>
      </c>
      <c r="K9" s="123">
        <f t="shared" si="22"/>
        <v>1.8748366897753086</v>
      </c>
      <c r="L9" s="125">
        <f t="shared" si="22"/>
        <v>1.6322699471097497</v>
      </c>
      <c r="M9" s="124">
        <f t="shared" si="22"/>
        <v>1.4726463442747957</v>
      </c>
      <c r="N9" s="125">
        <f t="shared" si="22"/>
        <v>1.4553299875160239</v>
      </c>
    </row>
    <row r="10" spans="1:14" s="9" customFormat="1" ht="11.25" x14ac:dyDescent="0.2">
      <c r="B10" s="30" t="s">
        <v>85</v>
      </c>
      <c r="C10" s="41">
        <f t="shared" ref="C10:I10" si="23">C8*C9</f>
        <v>8.9103423616697958E-2</v>
      </c>
      <c r="D10" s="42">
        <f t="shared" si="23"/>
        <v>0.2428869372213612</v>
      </c>
      <c r="E10" s="42">
        <f t="shared" si="23"/>
        <v>0.22124572262009387</v>
      </c>
      <c r="F10" s="42">
        <f t="shared" si="23"/>
        <v>0.30793881467404466</v>
      </c>
      <c r="G10" s="42">
        <f t="shared" si="23"/>
        <v>0.24218145556453416</v>
      </c>
      <c r="H10" s="42">
        <f t="shared" si="23"/>
        <v>0.25843430549658708</v>
      </c>
      <c r="I10" s="42">
        <f t="shared" si="23"/>
        <v>0.23618742490989186</v>
      </c>
      <c r="J10" s="42">
        <f t="shared" ref="J10" si="24">J8*J9</f>
        <v>0.26447383042560285</v>
      </c>
      <c r="K10" s="42">
        <f t="shared" ref="K10" si="25">K8*K9</f>
        <v>0.17666929532373676</v>
      </c>
      <c r="L10" s="43">
        <f t="shared" ref="L10" si="26">L8*L9</f>
        <v>0.1491367168647999</v>
      </c>
      <c r="M10" s="42">
        <f t="shared" ref="M10" si="27">M8*M9</f>
        <v>0.10976928942561757</v>
      </c>
      <c r="N10" s="43">
        <f t="shared" ref="N10" si="28">N8*N9</f>
        <v>0.11582448702588122</v>
      </c>
    </row>
    <row r="11" spans="1:14" x14ac:dyDescent="0.25">
      <c r="B11" s="20" t="s">
        <v>28</v>
      </c>
      <c r="C11" s="44">
        <f t="shared" ref="C11:G11" si="29">(C19+C21)/((B27+C27)/2)</f>
        <v>0.10618026827127992</v>
      </c>
      <c r="D11" s="45">
        <f t="shared" si="29"/>
        <v>0.12125184986541919</v>
      </c>
      <c r="E11" s="45">
        <f t="shared" si="29"/>
        <v>0.13959179234338748</v>
      </c>
      <c r="F11" s="45">
        <f t="shared" si="29"/>
        <v>0.19715171141056442</v>
      </c>
      <c r="G11" s="45">
        <f t="shared" si="29"/>
        <v>0.15094940421324307</v>
      </c>
      <c r="H11" s="45">
        <f t="shared" ref="H11:N11" si="30">(H19+H21)/((G27+H27)/2)</f>
        <v>0.1163970135851943</v>
      </c>
      <c r="I11" s="45">
        <f t="shared" si="30"/>
        <v>0.13732133492054244</v>
      </c>
      <c r="J11" s="45">
        <f t="shared" si="30"/>
        <v>0.15078643112858736</v>
      </c>
      <c r="K11" s="45">
        <f t="shared" si="30"/>
        <v>0.11141124371777723</v>
      </c>
      <c r="L11" s="46">
        <f t="shared" si="30"/>
        <v>0.11202931833661839</v>
      </c>
      <c r="M11" s="45">
        <f t="shared" si="30"/>
        <v>0.10626849918546222</v>
      </c>
      <c r="N11" s="46">
        <f t="shared" si="30"/>
        <v>9.3610818689772446E-2</v>
      </c>
    </row>
    <row r="12" spans="1:14" x14ac:dyDescent="0.25">
      <c r="B12" s="20" t="s">
        <v>29</v>
      </c>
      <c r="C12" s="44">
        <f t="shared" ref="C12:N12" si="31">C20/((B27+C27)/2)</f>
        <v>0.12297856336968785</v>
      </c>
      <c r="D12" s="45">
        <f t="shared" si="31"/>
        <v>4.9601223642521577E-2</v>
      </c>
      <c r="E12" s="45">
        <f t="shared" si="31"/>
        <v>7.3738399071925753E-2</v>
      </c>
      <c r="F12" s="45">
        <f t="shared" si="31"/>
        <v>0.11004909641700616</v>
      </c>
      <c r="G12" s="45">
        <f t="shared" si="31"/>
        <v>7.6924366086242438E-2</v>
      </c>
      <c r="H12" s="45">
        <f t="shared" si="31"/>
        <v>7.3313490413874527E-2</v>
      </c>
      <c r="I12" s="45">
        <f t="shared" si="31"/>
        <v>9.1686298667243829E-2</v>
      </c>
      <c r="J12" s="45">
        <f t="shared" si="31"/>
        <v>0.1082810024062445</v>
      </c>
      <c r="K12" s="45">
        <f t="shared" si="31"/>
        <v>7.2516655195252133E-2</v>
      </c>
      <c r="L12" s="46">
        <f t="shared" si="31"/>
        <v>7.3464614865312861E-2</v>
      </c>
      <c r="M12" s="45">
        <f t="shared" si="31"/>
        <v>7.0210862033361632E-2</v>
      </c>
      <c r="N12" s="46">
        <f t="shared" si="31"/>
        <v>6.0981995843118204E-2</v>
      </c>
    </row>
    <row r="13" spans="1:14" s="6" customFormat="1" x14ac:dyDescent="0.25">
      <c r="A13"/>
      <c r="B13"/>
      <c r="C13"/>
      <c r="D13"/>
      <c r="E13"/>
      <c r="F13"/>
      <c r="G13" s="2"/>
      <c r="H13"/>
      <c r="I13" s="2"/>
      <c r="J13" s="2"/>
      <c r="K13" s="2"/>
      <c r="L13" s="2"/>
      <c r="M13" s="2"/>
      <c r="N13" s="2"/>
    </row>
    <row r="14" spans="1:14" x14ac:dyDescent="0.25">
      <c r="A14" s="82" t="s">
        <v>63</v>
      </c>
      <c r="B14" s="12"/>
      <c r="C14" s="11">
        <v>2008</v>
      </c>
      <c r="D14" s="11">
        <v>2009</v>
      </c>
      <c r="E14" s="11">
        <v>2010</v>
      </c>
      <c r="F14" s="11">
        <v>2011</v>
      </c>
      <c r="G14" s="79">
        <v>2012</v>
      </c>
      <c r="H14" s="79">
        <v>2013</v>
      </c>
      <c r="I14" s="79">
        <v>2014</v>
      </c>
      <c r="J14" s="79">
        <v>2015</v>
      </c>
      <c r="K14" s="79">
        <v>2016</v>
      </c>
      <c r="L14" s="75">
        <f>L1</f>
        <v>2017</v>
      </c>
      <c r="M14" s="79">
        <f>M1</f>
        <v>2018</v>
      </c>
      <c r="N14" s="75">
        <f>N1</f>
        <v>2019</v>
      </c>
    </row>
    <row r="15" spans="1:14" x14ac:dyDescent="0.25">
      <c r="A15" s="23" t="s">
        <v>64</v>
      </c>
      <c r="B15" s="24"/>
      <c r="C15" s="24">
        <v>69577</v>
      </c>
      <c r="D15" s="24">
        <v>70053</v>
      </c>
      <c r="E15" s="24">
        <v>68828</v>
      </c>
      <c r="F15" s="24">
        <v>73275</v>
      </c>
      <c r="G15" s="24">
        <v>78296</v>
      </c>
      <c r="H15" s="24">
        <v>73445</v>
      </c>
      <c r="I15" s="24">
        <v>71227</v>
      </c>
      <c r="J15" s="24">
        <v>75636</v>
      </c>
      <c r="K15" s="24">
        <v>79644</v>
      </c>
      <c r="L15" s="25">
        <v>82863</v>
      </c>
      <c r="M15" s="133">
        <v>83044</v>
      </c>
      <c r="N15" s="110">
        <v>86849</v>
      </c>
    </row>
    <row r="16" spans="1:14" x14ac:dyDescent="0.25">
      <c r="A16" s="15" t="s">
        <v>0</v>
      </c>
      <c r="B16" s="3"/>
      <c r="C16" s="3">
        <v>5585</v>
      </c>
      <c r="D16" s="3">
        <v>9219</v>
      </c>
      <c r="E16" s="3">
        <v>10034</v>
      </c>
      <c r="F16" s="3">
        <v>10701</v>
      </c>
      <c r="G16" s="59">
        <v>9788</v>
      </c>
      <c r="H16" s="56">
        <f>H17+2734</f>
        <v>10647</v>
      </c>
      <c r="I16" s="56">
        <f>I17+730+1652</f>
        <v>9754</v>
      </c>
      <c r="J16" s="56">
        <f>J17+778+1769</f>
        <v>12067</v>
      </c>
      <c r="K16" s="56">
        <f>K17+932+1831</f>
        <v>10268</v>
      </c>
      <c r="L16" s="92">
        <f>L17+1281+1930</f>
        <v>10782</v>
      </c>
      <c r="M16" s="134">
        <f>M17+3414</f>
        <v>9604</v>
      </c>
      <c r="N16" s="114">
        <f>N17+1453+2041</f>
        <v>10406</v>
      </c>
    </row>
    <row r="17" spans="1:14" x14ac:dyDescent="0.25">
      <c r="A17" s="15" t="s">
        <v>1</v>
      </c>
      <c r="B17" s="3"/>
      <c r="C17" s="3">
        <f t="shared" ref="C17:E17" si="32">C18</f>
        <v>2492</v>
      </c>
      <c r="D17" s="3">
        <f t="shared" si="32"/>
        <v>6347</v>
      </c>
      <c r="E17" s="3">
        <f t="shared" si="32"/>
        <v>5916</v>
      </c>
      <c r="F17" s="3">
        <f>F18</f>
        <v>8264</v>
      </c>
      <c r="G17" s="59">
        <f>G18</f>
        <v>7043</v>
      </c>
      <c r="H17" s="5">
        <f>H18+70</f>
        <v>7913</v>
      </c>
      <c r="I17" s="5">
        <f>I18+5</f>
        <v>7372</v>
      </c>
      <c r="J17" s="5">
        <f>J18+3</f>
        <v>9520</v>
      </c>
      <c r="K17" s="5">
        <f>K18+1</f>
        <v>7505</v>
      </c>
      <c r="L17" s="104">
        <f>L18</f>
        <v>7571</v>
      </c>
      <c r="M17" s="135">
        <f>M18+4</f>
        <v>6190</v>
      </c>
      <c r="N17" s="104">
        <f>N18+1</f>
        <v>6912</v>
      </c>
    </row>
    <row r="18" spans="1:14" x14ac:dyDescent="0.25">
      <c r="A18" s="15" t="s">
        <v>2</v>
      </c>
      <c r="B18" s="3"/>
      <c r="C18" s="3">
        <v>2492</v>
      </c>
      <c r="D18" s="3">
        <v>6347</v>
      </c>
      <c r="E18" s="3">
        <v>5916</v>
      </c>
      <c r="F18" s="3">
        <v>8264</v>
      </c>
      <c r="G18" s="59">
        <v>7043</v>
      </c>
      <c r="H18" s="5">
        <v>7843</v>
      </c>
      <c r="I18" s="5">
        <f>I19+177+764-1058</f>
        <v>7367</v>
      </c>
      <c r="J18" s="5">
        <f>J19+500+818-1260</f>
        <v>9517</v>
      </c>
      <c r="K18" s="5">
        <f>K19+373+989-1314-134</f>
        <v>7504</v>
      </c>
      <c r="L18" s="104">
        <v>7571</v>
      </c>
      <c r="M18" s="135">
        <v>6186</v>
      </c>
      <c r="N18" s="104">
        <f>N19+74+1129-1634-199</f>
        <v>6911</v>
      </c>
    </row>
    <row r="19" spans="1:14" x14ac:dyDescent="0.25">
      <c r="A19" s="15" t="s">
        <v>3</v>
      </c>
      <c r="B19" s="3"/>
      <c r="C19" s="3">
        <v>2874</v>
      </c>
      <c r="D19" s="3">
        <v>3891</v>
      </c>
      <c r="E19" s="3">
        <v>5811</v>
      </c>
      <c r="F19" s="3">
        <v>9608</v>
      </c>
      <c r="G19" s="59">
        <v>7279</v>
      </c>
      <c r="H19" s="59">
        <v>6216</v>
      </c>
      <c r="I19" s="59">
        <f>7306+178</f>
        <v>7484</v>
      </c>
      <c r="J19" s="59">
        <f>7218+2241</f>
        <v>9459</v>
      </c>
      <c r="K19" s="59">
        <f>7404+186</f>
        <v>7590</v>
      </c>
      <c r="L19" s="103">
        <v>8242</v>
      </c>
      <c r="M19" s="135">
        <v>8174</v>
      </c>
      <c r="N19" s="104">
        <f>7541</f>
        <v>7541</v>
      </c>
    </row>
    <row r="20" spans="1:14" x14ac:dyDescent="0.25">
      <c r="A20" s="16" t="s">
        <v>4</v>
      </c>
      <c r="B20" s="4"/>
      <c r="C20" s="4">
        <v>5886</v>
      </c>
      <c r="D20" s="4">
        <v>2497</v>
      </c>
      <c r="E20" s="4">
        <v>4068</v>
      </c>
      <c r="F20" s="4">
        <v>6321</v>
      </c>
      <c r="G20" s="4">
        <v>4590</v>
      </c>
      <c r="H20" s="4">
        <v>4409</v>
      </c>
      <c r="I20" s="4">
        <v>5507</v>
      </c>
      <c r="J20" s="4">
        <v>7380</v>
      </c>
      <c r="K20" s="4">
        <v>5584</v>
      </c>
      <c r="L20" s="27">
        <v>6094</v>
      </c>
      <c r="M20" s="136">
        <v>6120</v>
      </c>
      <c r="N20" s="109">
        <v>5648</v>
      </c>
    </row>
    <row r="21" spans="1:14" x14ac:dyDescent="0.25">
      <c r="A21" s="16" t="s">
        <v>65</v>
      </c>
      <c r="B21" s="4"/>
      <c r="C21" s="4">
        <v>2208</v>
      </c>
      <c r="D21" s="4">
        <v>2213</v>
      </c>
      <c r="E21" s="4">
        <v>1890</v>
      </c>
      <c r="F21" s="4">
        <v>1716</v>
      </c>
      <c r="G21" s="21">
        <v>1728</v>
      </c>
      <c r="H21" s="4">
        <v>784</v>
      </c>
      <c r="I21" s="4">
        <v>764</v>
      </c>
      <c r="J21" s="4">
        <v>818</v>
      </c>
      <c r="K21" s="4">
        <v>989</v>
      </c>
      <c r="L21" s="27">
        <v>1051</v>
      </c>
      <c r="M21" s="136">
        <v>1089</v>
      </c>
      <c r="N21" s="109">
        <v>1129</v>
      </c>
    </row>
    <row r="22" spans="1:14" x14ac:dyDescent="0.25">
      <c r="A22" s="16"/>
      <c r="B22" s="13">
        <v>39355</v>
      </c>
      <c r="C22" s="13">
        <v>39721</v>
      </c>
      <c r="D22" s="13">
        <v>40086</v>
      </c>
      <c r="E22" s="13">
        <v>40451</v>
      </c>
      <c r="F22" s="13">
        <v>40816</v>
      </c>
      <c r="G22" s="13">
        <v>41182</v>
      </c>
      <c r="H22" s="13">
        <v>41547</v>
      </c>
      <c r="I22" s="13">
        <v>41912</v>
      </c>
      <c r="J22" s="13">
        <v>42277</v>
      </c>
      <c r="K22" s="13">
        <v>42643</v>
      </c>
      <c r="L22" s="14">
        <v>43008</v>
      </c>
      <c r="M22" s="13">
        <v>43373</v>
      </c>
      <c r="N22" s="14">
        <v>43738</v>
      </c>
    </row>
    <row r="23" spans="1:14" x14ac:dyDescent="0.25">
      <c r="A23" s="20" t="s">
        <v>66</v>
      </c>
      <c r="B23" s="53">
        <v>91555</v>
      </c>
      <c r="C23" s="21">
        <v>94463</v>
      </c>
      <c r="D23" s="21">
        <v>94926</v>
      </c>
      <c r="E23" s="21">
        <v>102827</v>
      </c>
      <c r="F23" s="21">
        <v>104243</v>
      </c>
      <c r="G23" s="21">
        <v>108282</v>
      </c>
      <c r="H23" s="21">
        <v>101936</v>
      </c>
      <c r="I23" s="21">
        <v>104879</v>
      </c>
      <c r="J23" s="21">
        <v>120348</v>
      </c>
      <c r="K23" s="21">
        <v>125717</v>
      </c>
      <c r="L23" s="22">
        <v>136111</v>
      </c>
      <c r="M23" s="53">
        <v>138915</v>
      </c>
      <c r="N23" s="113">
        <v>150248</v>
      </c>
    </row>
    <row r="24" spans="1:14" x14ac:dyDescent="0.25">
      <c r="A24" s="15" t="s">
        <v>67</v>
      </c>
      <c r="B24" s="54">
        <v>29627</v>
      </c>
      <c r="C24" s="3">
        <v>27380</v>
      </c>
      <c r="D24" s="3">
        <v>27287</v>
      </c>
      <c r="E24" s="3">
        <v>29096</v>
      </c>
      <c r="F24" s="3">
        <v>32156</v>
      </c>
      <c r="G24" s="59">
        <v>31302</v>
      </c>
      <c r="H24" s="59">
        <v>28625</v>
      </c>
      <c r="I24" s="59">
        <v>31514</v>
      </c>
      <c r="J24" s="59">
        <v>35056</v>
      </c>
      <c r="K24" s="59">
        <v>34816</v>
      </c>
      <c r="L24" s="26">
        <v>44619</v>
      </c>
      <c r="M24" s="5">
        <v>48046</v>
      </c>
      <c r="N24" s="76">
        <v>50984</v>
      </c>
    </row>
    <row r="25" spans="1:14" x14ac:dyDescent="0.25">
      <c r="A25" s="15" t="s">
        <v>68</v>
      </c>
      <c r="B25" s="54">
        <v>15497</v>
      </c>
      <c r="C25" s="3">
        <v>16079</v>
      </c>
      <c r="D25" s="3">
        <v>19638</v>
      </c>
      <c r="E25" s="3">
        <v>19913</v>
      </c>
      <c r="F25" s="3">
        <v>17940</v>
      </c>
      <c r="G25" s="59">
        <v>20707</v>
      </c>
      <c r="H25" s="59">
        <v>20453</v>
      </c>
      <c r="I25" s="59">
        <v>20946</v>
      </c>
      <c r="J25" s="59">
        <v>29661</v>
      </c>
      <c r="K25" s="59">
        <v>30967</v>
      </c>
      <c r="L25" s="26">
        <f>5447+26777</f>
        <v>32224</v>
      </c>
      <c r="M25" s="5">
        <f>5057+27120</f>
        <v>32177</v>
      </c>
      <c r="N25" s="76">
        <f>6034+30414</f>
        <v>36448</v>
      </c>
    </row>
    <row r="26" spans="1:14" s="1" customFormat="1" x14ac:dyDescent="0.25">
      <c r="A26" s="15" t="s">
        <v>69</v>
      </c>
      <c r="B26" s="54">
        <v>2780</v>
      </c>
      <c r="C26" s="3">
        <v>4361</v>
      </c>
      <c r="D26" s="3">
        <v>5938</v>
      </c>
      <c r="E26" s="3">
        <v>8464</v>
      </c>
      <c r="F26" s="3">
        <v>7307</v>
      </c>
      <c r="G26" s="59">
        <v>9926</v>
      </c>
      <c r="H26" s="59">
        <v>9265</v>
      </c>
      <c r="I26" s="59">
        <v>9324</v>
      </c>
      <c r="J26" s="59">
        <v>9811</v>
      </c>
      <c r="K26" s="59">
        <v>13695</v>
      </c>
      <c r="L26" s="26">
        <v>9582</v>
      </c>
      <c r="M26" s="5">
        <v>7684</v>
      </c>
      <c r="N26" s="76">
        <v>9896</v>
      </c>
    </row>
    <row r="27" spans="1:14" x14ac:dyDescent="0.25">
      <c r="A27" s="18" t="s">
        <v>70</v>
      </c>
      <c r="B27" s="10">
        <f t="shared" ref="B27:I27" si="33">SUM(B24:B26)</f>
        <v>47904</v>
      </c>
      <c r="C27" s="10">
        <f t="shared" si="33"/>
        <v>47820</v>
      </c>
      <c r="D27" s="10">
        <f t="shared" si="33"/>
        <v>52863</v>
      </c>
      <c r="E27" s="10">
        <f t="shared" si="33"/>
        <v>57473</v>
      </c>
      <c r="F27" s="10">
        <f t="shared" si="33"/>
        <v>57403</v>
      </c>
      <c r="G27" s="10">
        <f t="shared" si="33"/>
        <v>61935</v>
      </c>
      <c r="H27" s="10">
        <f t="shared" si="33"/>
        <v>58343</v>
      </c>
      <c r="I27" s="10">
        <f t="shared" si="33"/>
        <v>61784</v>
      </c>
      <c r="J27" s="10">
        <f t="shared" ref="J27" si="34">SUM(J24:J26)</f>
        <v>74528</v>
      </c>
      <c r="K27" s="10">
        <f t="shared" ref="K27" si="35">SUM(K24:K26)</f>
        <v>79478</v>
      </c>
      <c r="L27" s="28">
        <f t="shared" ref="L27" si="36">SUM(L24:L26)</f>
        <v>86425</v>
      </c>
      <c r="M27" s="10">
        <f t="shared" ref="M27" si="37">SUM(M24:M26)</f>
        <v>87907</v>
      </c>
      <c r="N27" s="28">
        <f t="shared" ref="N27" si="38">SUM(N24:N26)</f>
        <v>97328</v>
      </c>
    </row>
    <row r="28" spans="1:14" x14ac:dyDescent="0.25">
      <c r="A28" s="15" t="s">
        <v>71</v>
      </c>
      <c r="B28" s="54">
        <v>4005</v>
      </c>
      <c r="C28" s="3">
        <v>6893</v>
      </c>
      <c r="D28" s="3">
        <v>10159</v>
      </c>
      <c r="E28" s="3">
        <v>14108</v>
      </c>
      <c r="F28" s="3">
        <v>12468</v>
      </c>
      <c r="G28" s="59">
        <v>10891</v>
      </c>
      <c r="H28" s="59">
        <v>9190</v>
      </c>
      <c r="I28" s="59">
        <v>8013</v>
      </c>
      <c r="J28" s="59">
        <v>9957</v>
      </c>
      <c r="K28" s="59">
        <v>10604</v>
      </c>
      <c r="L28" s="26">
        <v>8375</v>
      </c>
      <c r="M28" s="5">
        <v>11066</v>
      </c>
      <c r="N28" s="76">
        <v>12391</v>
      </c>
    </row>
    <row r="29" spans="1:14" x14ac:dyDescent="0.25">
      <c r="A29" s="15" t="s">
        <v>72</v>
      </c>
      <c r="B29" s="54">
        <f>B35</f>
        <v>13354</v>
      </c>
      <c r="C29" s="3">
        <f t="shared" ref="C29:K29" si="39">C35</f>
        <v>15537</v>
      </c>
      <c r="D29" s="3">
        <f t="shared" si="39"/>
        <v>15831</v>
      </c>
      <c r="E29" s="3">
        <f t="shared" si="39"/>
        <v>16759</v>
      </c>
      <c r="F29" s="3">
        <f t="shared" si="39"/>
        <v>17868</v>
      </c>
      <c r="G29" s="59">
        <f t="shared" si="39"/>
        <v>19948</v>
      </c>
      <c r="H29" s="59">
        <f t="shared" si="39"/>
        <v>19011</v>
      </c>
      <c r="I29" s="4">
        <f t="shared" si="39"/>
        <v>21488</v>
      </c>
      <c r="J29" s="4">
        <f t="shared" si="39"/>
        <v>24862</v>
      </c>
      <c r="K29" s="4">
        <f t="shared" si="39"/>
        <v>23622</v>
      </c>
      <c r="L29" s="27">
        <f t="shared" ref="L29" si="40">L35</f>
        <v>21771</v>
      </c>
      <c r="M29" s="4">
        <f t="shared" ref="M29" si="41">M35</f>
        <v>20338</v>
      </c>
      <c r="N29" s="27">
        <f t="shared" ref="N29" si="42">N35</f>
        <v>22087</v>
      </c>
    </row>
    <row r="30" spans="1:14" x14ac:dyDescent="0.25">
      <c r="A30" s="18" t="s">
        <v>73</v>
      </c>
      <c r="B30" s="10">
        <f>SUM(B24:B26)-B28-B29</f>
        <v>30545</v>
      </c>
      <c r="C30" s="10">
        <f t="shared" ref="C30:I30" si="43">SUM(C24:C26)-C28-C29</f>
        <v>25390</v>
      </c>
      <c r="D30" s="10">
        <f t="shared" si="43"/>
        <v>26873</v>
      </c>
      <c r="E30" s="10">
        <f t="shared" si="43"/>
        <v>26606</v>
      </c>
      <c r="F30" s="10">
        <f t="shared" si="43"/>
        <v>27067</v>
      </c>
      <c r="G30" s="10">
        <f t="shared" si="43"/>
        <v>31096</v>
      </c>
      <c r="H30" s="10">
        <f t="shared" si="43"/>
        <v>30142</v>
      </c>
      <c r="I30" s="10">
        <f t="shared" si="43"/>
        <v>32283</v>
      </c>
      <c r="J30" s="10">
        <f t="shared" ref="J30" si="44">SUM(J24:J26)-J28-J29</f>
        <v>39709</v>
      </c>
      <c r="K30" s="10">
        <f t="shared" ref="K30" si="45">SUM(K24:K26)-K28-K29</f>
        <v>45252</v>
      </c>
      <c r="L30" s="28">
        <f t="shared" ref="L30" si="46">SUM(L24:L26)-L28-L29</f>
        <v>56279</v>
      </c>
      <c r="M30" s="10">
        <f t="shared" ref="M30" si="47">SUM(M24:M26)-M28-M29</f>
        <v>56503</v>
      </c>
      <c r="N30" s="28">
        <f t="shared" ref="N30" si="48">SUM(N24:N26)-N28-N29</f>
        <v>62850</v>
      </c>
    </row>
    <row r="31" spans="1:14" x14ac:dyDescent="0.25">
      <c r="B31" s="13">
        <v>39355</v>
      </c>
      <c r="C31" s="13">
        <v>39721</v>
      </c>
      <c r="D31" s="13">
        <v>40086</v>
      </c>
      <c r="E31" s="13">
        <v>40451</v>
      </c>
      <c r="F31" s="13">
        <v>40816</v>
      </c>
      <c r="G31" s="13">
        <v>41182</v>
      </c>
      <c r="H31" s="13">
        <v>41547</v>
      </c>
      <c r="I31" s="13">
        <v>41912</v>
      </c>
      <c r="J31" s="13">
        <v>42277</v>
      </c>
      <c r="K31" s="13">
        <v>42643</v>
      </c>
      <c r="L31" s="14">
        <f>L22</f>
        <v>43008</v>
      </c>
      <c r="M31" s="13">
        <f>M22</f>
        <v>43373</v>
      </c>
      <c r="N31" s="14">
        <f>N22</f>
        <v>43738</v>
      </c>
    </row>
    <row r="32" spans="1:14" x14ac:dyDescent="0.25">
      <c r="A32" s="17" t="s">
        <v>74</v>
      </c>
      <c r="B32" s="3">
        <v>4619</v>
      </c>
      <c r="C32" s="3">
        <v>5413</v>
      </c>
      <c r="D32" s="3">
        <v>5026</v>
      </c>
      <c r="E32" s="3">
        <v>4969</v>
      </c>
      <c r="F32" s="3">
        <v>4444</v>
      </c>
      <c r="G32" s="59">
        <v>4595</v>
      </c>
      <c r="H32" s="59">
        <v>5057</v>
      </c>
      <c r="I32" s="59">
        <v>4560</v>
      </c>
      <c r="J32" s="59">
        <v>8077</v>
      </c>
      <c r="K32" s="59">
        <v>7742</v>
      </c>
      <c r="L32" s="26">
        <v>10926</v>
      </c>
      <c r="M32" s="5">
        <v>10131</v>
      </c>
      <c r="N32" s="76">
        <v>9800</v>
      </c>
    </row>
    <row r="33" spans="1:14" x14ac:dyDescent="0.25">
      <c r="A33" s="15" t="s">
        <v>5</v>
      </c>
      <c r="B33" s="3">
        <v>12501</v>
      </c>
      <c r="C33" s="3">
        <v>16004</v>
      </c>
      <c r="D33" s="3">
        <v>15821</v>
      </c>
      <c r="E33" s="3">
        <v>15763</v>
      </c>
      <c r="F33" s="3">
        <v>15706</v>
      </c>
      <c r="G33" s="59">
        <v>17069</v>
      </c>
      <c r="H33" s="59">
        <v>17883</v>
      </c>
      <c r="I33" s="59">
        <v>17783</v>
      </c>
      <c r="J33" s="59">
        <v>23166</v>
      </c>
      <c r="K33" s="59">
        <v>24159</v>
      </c>
      <c r="L33" s="26">
        <v>27906</v>
      </c>
      <c r="M33" s="5">
        <v>28344</v>
      </c>
      <c r="N33" s="76">
        <v>30160</v>
      </c>
    </row>
    <row r="34" spans="1:14" x14ac:dyDescent="0.25">
      <c r="A34" s="15" t="s">
        <v>75</v>
      </c>
      <c r="B34" s="3">
        <v>10555</v>
      </c>
      <c r="C34" s="3">
        <v>11258</v>
      </c>
      <c r="D34" s="3">
        <v>11323</v>
      </c>
      <c r="E34" s="3">
        <v>11748</v>
      </c>
      <c r="F34" s="3">
        <v>10477</v>
      </c>
      <c r="G34" s="59">
        <v>10763</v>
      </c>
      <c r="H34" s="59">
        <v>9815</v>
      </c>
      <c r="I34" s="59">
        <v>9638</v>
      </c>
      <c r="J34" s="59">
        <v>10210</v>
      </c>
      <c r="K34" s="59">
        <v>10157</v>
      </c>
      <c r="L34" s="26">
        <v>10977</v>
      </c>
      <c r="M34" s="5">
        <v>11381</v>
      </c>
      <c r="N34" s="76">
        <v>12183</v>
      </c>
    </row>
    <row r="35" spans="1:14" x14ac:dyDescent="0.25">
      <c r="A35" s="15" t="s">
        <v>72</v>
      </c>
      <c r="B35" s="54">
        <v>13354</v>
      </c>
      <c r="C35" s="54">
        <v>15537</v>
      </c>
      <c r="D35" s="54">
        <v>15831</v>
      </c>
      <c r="E35" s="54">
        <v>16759</v>
      </c>
      <c r="F35" s="54">
        <v>17868</v>
      </c>
      <c r="G35" s="5">
        <v>19948</v>
      </c>
      <c r="H35" s="59">
        <v>19011</v>
      </c>
      <c r="I35" s="5">
        <v>21488</v>
      </c>
      <c r="J35" s="5">
        <v>24862</v>
      </c>
      <c r="K35" s="5">
        <v>23622</v>
      </c>
      <c r="L35" s="76">
        <v>21771</v>
      </c>
      <c r="M35" s="5">
        <f>2579+17759</f>
        <v>20338</v>
      </c>
      <c r="N35" s="76">
        <f>2244+19843</f>
        <v>22087</v>
      </c>
    </row>
    <row r="36" spans="1:14" x14ac:dyDescent="0.25">
      <c r="A36" s="15" t="s">
        <v>76</v>
      </c>
      <c r="B36" s="3">
        <v>12930</v>
      </c>
      <c r="C36" s="3">
        <v>14509</v>
      </c>
      <c r="D36" s="3">
        <v>14129</v>
      </c>
      <c r="E36" s="3">
        <v>14950</v>
      </c>
      <c r="F36" s="3">
        <v>15143</v>
      </c>
      <c r="G36" s="59">
        <v>15679</v>
      </c>
      <c r="H36" s="59">
        <v>15560</v>
      </c>
      <c r="I36" s="59">
        <v>15100</v>
      </c>
      <c r="J36" s="59">
        <v>17253</v>
      </c>
      <c r="K36" s="59">
        <v>18160</v>
      </c>
      <c r="L36" s="26">
        <v>13885</v>
      </c>
      <c r="M36" s="5">
        <v>13885</v>
      </c>
      <c r="N36" s="76">
        <v>14806</v>
      </c>
    </row>
    <row r="37" spans="1:14" x14ac:dyDescent="0.25">
      <c r="A37" s="15" t="s">
        <v>77</v>
      </c>
      <c r="B37" s="3">
        <v>14620</v>
      </c>
      <c r="C37" s="3">
        <v>15785</v>
      </c>
      <c r="D37" s="3">
        <v>14449</v>
      </c>
      <c r="E37" s="3">
        <v>14971</v>
      </c>
      <c r="F37" s="3">
        <v>14847</v>
      </c>
      <c r="G37" s="59">
        <v>15220</v>
      </c>
      <c r="H37" s="59">
        <v>12932</v>
      </c>
      <c r="I37" s="59">
        <v>12537</v>
      </c>
      <c r="J37" s="59">
        <v>13909</v>
      </c>
      <c r="K37" s="59">
        <v>14280</v>
      </c>
      <c r="L37" s="26">
        <v>16754</v>
      </c>
      <c r="M37" s="5">
        <v>16582</v>
      </c>
      <c r="N37" s="76">
        <v>16928</v>
      </c>
    </row>
    <row r="38" spans="1:14" x14ac:dyDescent="0.25">
      <c r="A38" s="15" t="s">
        <v>78</v>
      </c>
      <c r="B38" s="3">
        <v>2594</v>
      </c>
      <c r="C38" s="3">
        <v>3009</v>
      </c>
      <c r="D38" s="3">
        <v>3291</v>
      </c>
      <c r="E38" s="3">
        <v>3940</v>
      </c>
      <c r="F38" s="3">
        <v>3206</v>
      </c>
      <c r="G38" s="59">
        <v>3777</v>
      </c>
      <c r="H38" s="59">
        <v>3234</v>
      </c>
      <c r="I38" s="59">
        <v>3334</v>
      </c>
      <c r="J38" s="59">
        <v>2591</v>
      </c>
      <c r="K38" s="59">
        <v>3431</v>
      </c>
      <c r="L38" s="26">
        <v>2283</v>
      </c>
      <c r="M38" s="5">
        <v>2341</v>
      </c>
      <c r="N38" s="76">
        <v>3174</v>
      </c>
    </row>
    <row r="39" spans="1:14" x14ac:dyDescent="0.25">
      <c r="A39" s="15" t="s">
        <v>79</v>
      </c>
      <c r="B39" s="59">
        <f t="shared" ref="B39:I39" si="49">B41-B40-SUM(B32:B38)</f>
        <v>16377</v>
      </c>
      <c r="C39" s="59">
        <f t="shared" si="49"/>
        <v>6055</v>
      </c>
      <c r="D39" s="59">
        <f t="shared" si="49"/>
        <v>4897</v>
      </c>
      <c r="E39" s="59">
        <f t="shared" si="49"/>
        <v>5619</v>
      </c>
      <c r="F39" s="59">
        <f t="shared" si="49"/>
        <v>10084</v>
      </c>
      <c r="G39" s="59">
        <f t="shared" si="49"/>
        <v>10340</v>
      </c>
      <c r="H39" s="59">
        <f t="shared" si="49"/>
        <v>9254</v>
      </c>
      <c r="I39" s="59">
        <f t="shared" si="49"/>
        <v>12426</v>
      </c>
      <c r="J39" s="59">
        <f t="shared" ref="J39" si="50">J41-J40-SUM(J32:J38)</f>
        <v>10323</v>
      </c>
      <c r="K39" s="59">
        <f t="shared" ref="K39" si="51">K41-K40-SUM(K32:K38)</f>
        <v>13562</v>
      </c>
      <c r="L39" s="26">
        <f t="shared" ref="L39" si="52">L41-L40-SUM(L32:L38)</f>
        <v>23234</v>
      </c>
      <c r="M39" s="5">
        <f t="shared" ref="M39" si="53">M41-M40-SUM(M32:M38)</f>
        <v>24847</v>
      </c>
      <c r="N39" s="76">
        <f t="shared" ref="N39" si="54">N41-N40-SUM(N32:N38)</f>
        <v>28719</v>
      </c>
    </row>
    <row r="40" spans="1:14" x14ac:dyDescent="0.25">
      <c r="A40" s="15" t="s">
        <v>71</v>
      </c>
      <c r="B40" s="59">
        <f t="shared" ref="B40:I40" si="55">B28</f>
        <v>4005</v>
      </c>
      <c r="C40" s="59">
        <f t="shared" si="55"/>
        <v>6893</v>
      </c>
      <c r="D40" s="59">
        <f t="shared" si="55"/>
        <v>10159</v>
      </c>
      <c r="E40" s="59">
        <f t="shared" si="55"/>
        <v>14108</v>
      </c>
      <c r="F40" s="59">
        <f t="shared" si="55"/>
        <v>12468</v>
      </c>
      <c r="G40" s="4">
        <f t="shared" si="55"/>
        <v>10891</v>
      </c>
      <c r="H40" s="4">
        <f t="shared" si="55"/>
        <v>9190</v>
      </c>
      <c r="I40" s="4">
        <f t="shared" si="55"/>
        <v>8013</v>
      </c>
      <c r="J40" s="4">
        <f t="shared" ref="J40" si="56">J28</f>
        <v>9957</v>
      </c>
      <c r="K40" s="4">
        <f t="shared" ref="K40" si="57">K28</f>
        <v>10604</v>
      </c>
      <c r="L40" s="27">
        <f t="shared" ref="L40:M40" si="58">L28</f>
        <v>8375</v>
      </c>
      <c r="M40" s="4">
        <f t="shared" si="58"/>
        <v>11066</v>
      </c>
      <c r="N40" s="27">
        <f t="shared" ref="N40" si="59">N28</f>
        <v>12391</v>
      </c>
    </row>
    <row r="41" spans="1:14" x14ac:dyDescent="0.25">
      <c r="A41" s="18" t="s">
        <v>80</v>
      </c>
      <c r="B41" s="10">
        <f t="shared" ref="B41:I41" si="60">B23</f>
        <v>91555</v>
      </c>
      <c r="C41" s="10">
        <f t="shared" si="60"/>
        <v>94463</v>
      </c>
      <c r="D41" s="10">
        <f t="shared" si="60"/>
        <v>94926</v>
      </c>
      <c r="E41" s="10">
        <f t="shared" si="60"/>
        <v>102827</v>
      </c>
      <c r="F41" s="10">
        <f t="shared" si="60"/>
        <v>104243</v>
      </c>
      <c r="G41" s="10">
        <f t="shared" si="60"/>
        <v>108282</v>
      </c>
      <c r="H41" s="10">
        <f t="shared" si="60"/>
        <v>101936</v>
      </c>
      <c r="I41" s="10">
        <f t="shared" si="60"/>
        <v>104879</v>
      </c>
      <c r="J41" s="10">
        <f t="shared" ref="J41" si="61">J23</f>
        <v>120348</v>
      </c>
      <c r="K41" s="10">
        <f t="shared" ref="K41" si="62">K23</f>
        <v>125717</v>
      </c>
      <c r="L41" s="28">
        <f t="shared" ref="L41" si="63">L23</f>
        <v>136111</v>
      </c>
      <c r="M41" s="10">
        <f t="shared" ref="M41" si="64">M23</f>
        <v>138915</v>
      </c>
      <c r="N41" s="28">
        <f t="shared" ref="N41" si="65">N23</f>
        <v>150248</v>
      </c>
    </row>
    <row r="42" spans="1:14" s="1" customFormat="1" x14ac:dyDescent="0.25">
      <c r="A42" s="19" t="s">
        <v>81</v>
      </c>
      <c r="B42" s="5">
        <f>3581+2103</f>
        <v>5684</v>
      </c>
      <c r="C42" s="3">
        <f>5165+2533</f>
        <v>7698</v>
      </c>
      <c r="D42" s="3">
        <f>4191+2771</f>
        <v>6962</v>
      </c>
      <c r="E42" s="3">
        <f>5138+3332</f>
        <v>8470</v>
      </c>
      <c r="F42" s="3">
        <f>5168+3654</f>
        <v>8822</v>
      </c>
      <c r="G42" s="59">
        <f>4750+3908</f>
        <v>8658</v>
      </c>
      <c r="H42" s="59">
        <v>8392</v>
      </c>
      <c r="I42" s="59">
        <v>8425</v>
      </c>
      <c r="J42" s="59">
        <v>9354</v>
      </c>
      <c r="K42" s="59">
        <v>9253</v>
      </c>
      <c r="L42" s="26">
        <f>4077+4366</f>
        <v>8443</v>
      </c>
      <c r="M42" s="5">
        <f>5057+4216</f>
        <v>9273</v>
      </c>
      <c r="N42" s="76">
        <f>6034+3714</f>
        <v>9748</v>
      </c>
    </row>
    <row r="43" spans="1:14" s="9" customFormat="1" x14ac:dyDescent="0.25">
      <c r="A43" s="19" t="s">
        <v>82</v>
      </c>
      <c r="B43" s="5">
        <v>8382</v>
      </c>
      <c r="C43" s="3">
        <v>8860</v>
      </c>
      <c r="D43" s="3">
        <v>7593</v>
      </c>
      <c r="E43" s="3">
        <v>7880</v>
      </c>
      <c r="F43" s="3">
        <v>7677</v>
      </c>
      <c r="G43" s="59">
        <v>8036</v>
      </c>
      <c r="H43" s="59">
        <v>7599</v>
      </c>
      <c r="I43" s="59">
        <v>7594</v>
      </c>
      <c r="J43" s="59">
        <v>7774</v>
      </c>
      <c r="K43" s="59">
        <v>8048</v>
      </c>
      <c r="L43" s="26">
        <v>9756</v>
      </c>
      <c r="M43" s="5">
        <v>10716</v>
      </c>
      <c r="N43" s="76">
        <v>11409</v>
      </c>
    </row>
    <row r="44" spans="1:14" s="9" customFormat="1" x14ac:dyDescent="0.25">
      <c r="A44" s="19" t="s">
        <v>83</v>
      </c>
      <c r="B44" s="5">
        <v>580</v>
      </c>
      <c r="C44" s="3">
        <v>726</v>
      </c>
      <c r="D44" s="3">
        <v>776</v>
      </c>
      <c r="E44" s="3">
        <v>577</v>
      </c>
      <c r="F44" s="3">
        <v>595</v>
      </c>
      <c r="G44" s="59">
        <v>494</v>
      </c>
      <c r="H44" s="59">
        <v>504</v>
      </c>
      <c r="I44" s="59">
        <v>552</v>
      </c>
      <c r="J44" s="59">
        <v>609</v>
      </c>
      <c r="K44" s="59">
        <v>829</v>
      </c>
      <c r="L44" s="26">
        <v>1635</v>
      </c>
      <c r="M44" s="5">
        <v>1092</v>
      </c>
      <c r="N44" s="76">
        <v>1305</v>
      </c>
    </row>
    <row r="45" spans="1:14" x14ac:dyDescent="0.25">
      <c r="A45" s="19" t="s">
        <v>84</v>
      </c>
      <c r="B45" s="5">
        <f t="shared" ref="B45:I45" si="66">B41-SUM(B42:B44)-SUM(B24:B26)</f>
        <v>29005</v>
      </c>
      <c r="C45" s="5">
        <f t="shared" si="66"/>
        <v>29359</v>
      </c>
      <c r="D45" s="5">
        <f t="shared" si="66"/>
        <v>26732</v>
      </c>
      <c r="E45" s="5">
        <f t="shared" si="66"/>
        <v>28427</v>
      </c>
      <c r="F45" s="5">
        <f t="shared" si="66"/>
        <v>29746</v>
      </c>
      <c r="G45" s="5">
        <f t="shared" si="66"/>
        <v>29159</v>
      </c>
      <c r="H45" s="5">
        <f t="shared" si="66"/>
        <v>27098</v>
      </c>
      <c r="I45" s="5">
        <f t="shared" si="66"/>
        <v>26524</v>
      </c>
      <c r="J45" s="5">
        <f t="shared" ref="J45" si="67">J41-SUM(J42:J44)-SUM(J24:J26)</f>
        <v>28083</v>
      </c>
      <c r="K45" s="5">
        <f t="shared" ref="K45" si="68">K41-SUM(K42:K44)-SUM(K24:K26)</f>
        <v>28109</v>
      </c>
      <c r="L45" s="76">
        <f t="shared" ref="L45" si="69">L41-SUM(L42:L44)-SUM(L24:L26)</f>
        <v>29852</v>
      </c>
      <c r="M45" s="5">
        <f t="shared" ref="M45" si="70">M41-SUM(M42:M44)-SUM(M24:M26)</f>
        <v>29927</v>
      </c>
      <c r="N45" s="76">
        <f t="shared" ref="N45" si="71">N41-SUM(N42:N44)-SUM(N24:N26)</f>
        <v>30458</v>
      </c>
    </row>
    <row r="46" spans="1:14" x14ac:dyDescent="0.25">
      <c r="A46" s="18" t="s">
        <v>70</v>
      </c>
      <c r="B46" s="10">
        <f>B41-SUM(B42:B45)</f>
        <v>47904</v>
      </c>
      <c r="C46" s="10">
        <f t="shared" ref="C46:I46" si="72">C41-SUM(C42:C45)</f>
        <v>47820</v>
      </c>
      <c r="D46" s="10">
        <f t="shared" si="72"/>
        <v>52863</v>
      </c>
      <c r="E46" s="10">
        <f t="shared" si="72"/>
        <v>57473</v>
      </c>
      <c r="F46" s="10">
        <f t="shared" si="72"/>
        <v>57403</v>
      </c>
      <c r="G46" s="10">
        <f t="shared" si="72"/>
        <v>61935</v>
      </c>
      <c r="H46" s="10">
        <f t="shared" si="72"/>
        <v>58343</v>
      </c>
      <c r="I46" s="10">
        <f t="shared" si="72"/>
        <v>61784</v>
      </c>
      <c r="J46" s="10">
        <f t="shared" ref="J46" si="73">J41-SUM(J42:J45)</f>
        <v>74528</v>
      </c>
      <c r="K46" s="10">
        <f t="shared" ref="K46" si="74">K41-SUM(K42:K45)</f>
        <v>79478</v>
      </c>
      <c r="L46" s="28">
        <f t="shared" ref="L46" si="75">L41-SUM(L42:L45)</f>
        <v>86425</v>
      </c>
      <c r="M46" s="10">
        <f t="shared" ref="M46" si="76">M41-SUM(M42:M45)</f>
        <v>87907</v>
      </c>
      <c r="N46" s="28">
        <f t="shared" ref="N46" si="77">N41-SUM(N42:N45)</f>
        <v>97328</v>
      </c>
    </row>
    <row r="47" spans="1:14" x14ac:dyDescent="0.25">
      <c r="A47" s="18" t="s">
        <v>73</v>
      </c>
      <c r="B47" s="10">
        <f>SUM(B32:B39)-SUM(B42:B45)-B35</f>
        <v>30545</v>
      </c>
      <c r="C47" s="10">
        <f t="shared" ref="C47:I47" si="78">SUM(C32:C39)-SUM(C42:C45)-C35</f>
        <v>25390</v>
      </c>
      <c r="D47" s="10">
        <f t="shared" si="78"/>
        <v>26873</v>
      </c>
      <c r="E47" s="10">
        <f t="shared" si="78"/>
        <v>26606</v>
      </c>
      <c r="F47" s="10">
        <f t="shared" si="78"/>
        <v>27067</v>
      </c>
      <c r="G47" s="10">
        <f t="shared" si="78"/>
        <v>31096</v>
      </c>
      <c r="H47" s="10">
        <f t="shared" si="78"/>
        <v>30142</v>
      </c>
      <c r="I47" s="10">
        <f t="shared" si="78"/>
        <v>32283</v>
      </c>
      <c r="J47" s="10">
        <f t="shared" ref="J47" si="79">SUM(J32:J39)-SUM(J42:J45)-J35</f>
        <v>39709</v>
      </c>
      <c r="K47" s="10">
        <f t="shared" ref="K47" si="80">SUM(K32:K39)-SUM(K42:K45)-K35</f>
        <v>45252</v>
      </c>
      <c r="L47" s="28">
        <f t="shared" ref="L47" si="81">SUM(L32:L39)-SUM(L42:L45)-L35</f>
        <v>56279</v>
      </c>
      <c r="M47" s="10">
        <f t="shared" ref="M47" si="82">SUM(M32:M39)-SUM(M42:M45)-M35</f>
        <v>56503</v>
      </c>
      <c r="N47" s="28">
        <f t="shared" ref="N47" si="83">SUM(N32:N39)-SUM(N42:N45)-N35</f>
        <v>62850</v>
      </c>
    </row>
    <row r="48" spans="1:14" s="1" customFormat="1" x14ac:dyDescent="0.25">
      <c r="A48" s="7" t="s">
        <v>85</v>
      </c>
      <c r="B48" s="8">
        <f t="shared" ref="B48:I48" si="84">B30-B47</f>
        <v>0</v>
      </c>
      <c r="C48" s="8">
        <f t="shared" si="84"/>
        <v>0</v>
      </c>
      <c r="D48" s="8">
        <f t="shared" si="84"/>
        <v>0</v>
      </c>
      <c r="E48" s="8">
        <f t="shared" si="84"/>
        <v>0</v>
      </c>
      <c r="F48" s="8">
        <f t="shared" si="84"/>
        <v>0</v>
      </c>
      <c r="G48" s="80">
        <f t="shared" si="84"/>
        <v>0</v>
      </c>
      <c r="H48" s="89">
        <f t="shared" si="84"/>
        <v>0</v>
      </c>
      <c r="I48" s="89">
        <f t="shared" si="84"/>
        <v>0</v>
      </c>
      <c r="J48" s="89">
        <f t="shared" ref="J48" si="85">J30-J47</f>
        <v>0</v>
      </c>
      <c r="K48" s="89">
        <f t="shared" ref="K48" si="86">K30-K47</f>
        <v>0</v>
      </c>
      <c r="L48" s="89">
        <f t="shared" ref="L48" si="87">L30-L47</f>
        <v>0</v>
      </c>
      <c r="M48" s="89">
        <f t="shared" ref="M48" si="88">M30-M47</f>
        <v>0</v>
      </c>
      <c r="N48" s="89">
        <f t="shared" ref="N48" si="89">N30-N47</f>
        <v>0</v>
      </c>
    </row>
    <row r="49" spans="1:14" x14ac:dyDescent="0.25">
      <c r="A49" s="7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x14ac:dyDescent="0.25">
      <c r="A50" s="171"/>
      <c r="B50" s="81">
        <f t="shared" ref="B50:N50" si="90">B31</f>
        <v>39355</v>
      </c>
      <c r="C50" s="81">
        <f t="shared" si="90"/>
        <v>39721</v>
      </c>
      <c r="D50" s="81">
        <f t="shared" si="90"/>
        <v>40086</v>
      </c>
      <c r="E50" s="81">
        <f t="shared" si="90"/>
        <v>40451</v>
      </c>
      <c r="F50" s="81">
        <f t="shared" si="90"/>
        <v>40816</v>
      </c>
      <c r="G50" s="93">
        <f t="shared" si="90"/>
        <v>41182</v>
      </c>
      <c r="H50" s="81">
        <f t="shared" si="90"/>
        <v>41547</v>
      </c>
      <c r="I50" s="81">
        <f t="shared" si="90"/>
        <v>41912</v>
      </c>
      <c r="J50" s="93">
        <f t="shared" si="90"/>
        <v>42277</v>
      </c>
      <c r="K50" s="93">
        <f t="shared" si="90"/>
        <v>42643</v>
      </c>
      <c r="L50" s="81">
        <f t="shared" si="90"/>
        <v>43008</v>
      </c>
      <c r="M50" s="93">
        <f t="shared" si="90"/>
        <v>43373</v>
      </c>
      <c r="N50" s="81">
        <f t="shared" si="90"/>
        <v>43738</v>
      </c>
    </row>
    <row r="51" spans="1:14" x14ac:dyDescent="0.25">
      <c r="A51" s="85" t="s">
        <v>86</v>
      </c>
      <c r="B51" s="55">
        <f t="shared" ref="B51:N51" si="91">SUM(B32:B35)</f>
        <v>41029</v>
      </c>
      <c r="C51" s="56">
        <f t="shared" si="91"/>
        <v>48212</v>
      </c>
      <c r="D51" s="56">
        <f t="shared" si="91"/>
        <v>48001</v>
      </c>
      <c r="E51" s="56">
        <f t="shared" si="91"/>
        <v>49239</v>
      </c>
      <c r="F51" s="56">
        <f t="shared" si="91"/>
        <v>48495</v>
      </c>
      <c r="G51" s="56">
        <f t="shared" si="91"/>
        <v>52375</v>
      </c>
      <c r="H51" s="56">
        <f t="shared" si="91"/>
        <v>51766</v>
      </c>
      <c r="I51" s="56">
        <f t="shared" si="91"/>
        <v>53469</v>
      </c>
      <c r="J51" s="56">
        <f t="shared" si="91"/>
        <v>66315</v>
      </c>
      <c r="K51" s="56">
        <f t="shared" si="91"/>
        <v>65680</v>
      </c>
      <c r="L51" s="57">
        <f t="shared" si="91"/>
        <v>71580</v>
      </c>
      <c r="M51" s="56">
        <f t="shared" si="91"/>
        <v>70194</v>
      </c>
      <c r="N51" s="57">
        <f t="shared" si="91"/>
        <v>74230</v>
      </c>
    </row>
    <row r="52" spans="1:14" x14ac:dyDescent="0.25">
      <c r="A52" s="86" t="s">
        <v>87</v>
      </c>
      <c r="B52" s="58">
        <f t="shared" ref="B52:N52" si="92">B36+B37-B43</f>
        <v>19168</v>
      </c>
      <c r="C52" s="59">
        <f t="shared" si="92"/>
        <v>21434</v>
      </c>
      <c r="D52" s="59">
        <f t="shared" si="92"/>
        <v>20985</v>
      </c>
      <c r="E52" s="59">
        <f t="shared" si="92"/>
        <v>22041</v>
      </c>
      <c r="F52" s="59">
        <f t="shared" si="92"/>
        <v>22313</v>
      </c>
      <c r="G52" s="59">
        <f t="shared" si="92"/>
        <v>22863</v>
      </c>
      <c r="H52" s="59">
        <f t="shared" si="92"/>
        <v>20893</v>
      </c>
      <c r="I52" s="59">
        <f t="shared" si="92"/>
        <v>20043</v>
      </c>
      <c r="J52" s="59">
        <f t="shared" si="92"/>
        <v>23388</v>
      </c>
      <c r="K52" s="59">
        <f t="shared" si="92"/>
        <v>24392</v>
      </c>
      <c r="L52" s="26">
        <f t="shared" si="92"/>
        <v>20883</v>
      </c>
      <c r="M52" s="59">
        <f t="shared" si="92"/>
        <v>19751</v>
      </c>
      <c r="N52" s="26">
        <f t="shared" si="92"/>
        <v>20325</v>
      </c>
    </row>
    <row r="53" spans="1:14" x14ac:dyDescent="0.25">
      <c r="A53" s="86" t="s">
        <v>88</v>
      </c>
      <c r="B53" s="58">
        <f>B55-B51-B52-B54</f>
        <v>-16298</v>
      </c>
      <c r="C53" s="59">
        <f t="shared" ref="C53:I53" si="93">C55-C51-C52-C54</f>
        <v>-28719</v>
      </c>
      <c r="D53" s="59">
        <f t="shared" si="93"/>
        <v>-26282</v>
      </c>
      <c r="E53" s="59">
        <f t="shared" si="93"/>
        <v>-27915</v>
      </c>
      <c r="F53" s="59">
        <f t="shared" si="93"/>
        <v>-25873</v>
      </c>
      <c r="G53" s="59">
        <f t="shared" si="93"/>
        <v>-24194</v>
      </c>
      <c r="H53" s="59">
        <f t="shared" si="93"/>
        <v>-23506</v>
      </c>
      <c r="I53" s="59">
        <f t="shared" si="93"/>
        <v>-19741</v>
      </c>
      <c r="J53" s="59">
        <f t="shared" ref="J53" si="94">J55-J51-J52-J54</f>
        <v>-25132</v>
      </c>
      <c r="K53" s="59">
        <f t="shared" ref="K53" si="95">K55-K51-K52-K54</f>
        <v>-21198</v>
      </c>
      <c r="L53" s="26">
        <f t="shared" ref="L53" si="96">L55-L51-L52-L54</f>
        <v>-14413</v>
      </c>
      <c r="M53" s="59">
        <f t="shared" ref="M53" si="97">M55-M51-M52-M54</f>
        <v>-13104</v>
      </c>
      <c r="N53" s="26">
        <f t="shared" ref="N53" si="98">N55-N51-N52-N54</f>
        <v>-9618</v>
      </c>
    </row>
    <row r="54" spans="1:14" x14ac:dyDescent="0.25">
      <c r="A54" s="86" t="s">
        <v>71</v>
      </c>
      <c r="B54" s="58">
        <f t="shared" ref="B54:N54" si="99">B28</f>
        <v>4005</v>
      </c>
      <c r="C54" s="59">
        <f t="shared" si="99"/>
        <v>6893</v>
      </c>
      <c r="D54" s="59">
        <f t="shared" si="99"/>
        <v>10159</v>
      </c>
      <c r="E54" s="59">
        <f t="shared" si="99"/>
        <v>14108</v>
      </c>
      <c r="F54" s="59">
        <f t="shared" si="99"/>
        <v>12468</v>
      </c>
      <c r="G54" s="59">
        <f t="shared" si="99"/>
        <v>10891</v>
      </c>
      <c r="H54" s="59">
        <f t="shared" si="99"/>
        <v>9190</v>
      </c>
      <c r="I54" s="59">
        <f t="shared" si="99"/>
        <v>8013</v>
      </c>
      <c r="J54" s="59">
        <f t="shared" si="99"/>
        <v>9957</v>
      </c>
      <c r="K54" s="59">
        <f t="shared" si="99"/>
        <v>10604</v>
      </c>
      <c r="L54" s="26">
        <f t="shared" si="99"/>
        <v>8375</v>
      </c>
      <c r="M54" s="59">
        <f t="shared" si="99"/>
        <v>11066</v>
      </c>
      <c r="N54" s="26">
        <f t="shared" si="99"/>
        <v>12391</v>
      </c>
    </row>
    <row r="55" spans="1:14" x14ac:dyDescent="0.25">
      <c r="A55" s="18" t="s">
        <v>89</v>
      </c>
      <c r="B55" s="87">
        <f t="shared" ref="B55:N55" si="100">B27</f>
        <v>47904</v>
      </c>
      <c r="C55" s="10">
        <f t="shared" si="100"/>
        <v>47820</v>
      </c>
      <c r="D55" s="10">
        <f t="shared" si="100"/>
        <v>52863</v>
      </c>
      <c r="E55" s="10">
        <f t="shared" si="100"/>
        <v>57473</v>
      </c>
      <c r="F55" s="10">
        <f t="shared" si="100"/>
        <v>57403</v>
      </c>
      <c r="G55" s="10">
        <f t="shared" si="100"/>
        <v>61935</v>
      </c>
      <c r="H55" s="10">
        <f t="shared" si="100"/>
        <v>58343</v>
      </c>
      <c r="I55" s="10">
        <f t="shared" si="100"/>
        <v>61784</v>
      </c>
      <c r="J55" s="10">
        <f t="shared" si="100"/>
        <v>74528</v>
      </c>
      <c r="K55" s="10">
        <f t="shared" si="100"/>
        <v>79478</v>
      </c>
      <c r="L55" s="28">
        <f t="shared" si="100"/>
        <v>86425</v>
      </c>
      <c r="M55" s="10">
        <f t="shared" si="100"/>
        <v>87907</v>
      </c>
      <c r="N55" s="28">
        <f t="shared" si="100"/>
        <v>97328</v>
      </c>
    </row>
    <row r="56" spans="1:14" x14ac:dyDescent="0.25">
      <c r="A56" s="86" t="s">
        <v>67</v>
      </c>
      <c r="B56" s="58">
        <f t="shared" ref="B56:N56" si="101">B24</f>
        <v>29627</v>
      </c>
      <c r="C56" s="59">
        <f t="shared" si="101"/>
        <v>27380</v>
      </c>
      <c r="D56" s="59">
        <f t="shared" si="101"/>
        <v>27287</v>
      </c>
      <c r="E56" s="59">
        <f t="shared" si="101"/>
        <v>29096</v>
      </c>
      <c r="F56" s="59">
        <f t="shared" si="101"/>
        <v>32156</v>
      </c>
      <c r="G56" s="59">
        <f t="shared" si="101"/>
        <v>31302</v>
      </c>
      <c r="H56" s="59">
        <f t="shared" si="101"/>
        <v>28625</v>
      </c>
      <c r="I56" s="59">
        <f t="shared" si="101"/>
        <v>31514</v>
      </c>
      <c r="J56" s="59">
        <f t="shared" si="101"/>
        <v>35056</v>
      </c>
      <c r="K56" s="59">
        <f t="shared" si="101"/>
        <v>34816</v>
      </c>
      <c r="L56" s="26">
        <f t="shared" si="101"/>
        <v>44619</v>
      </c>
      <c r="M56" s="59">
        <f t="shared" si="101"/>
        <v>48046</v>
      </c>
      <c r="N56" s="26">
        <f t="shared" si="101"/>
        <v>50984</v>
      </c>
    </row>
    <row r="57" spans="1:14" x14ac:dyDescent="0.25">
      <c r="A57" s="86" t="s">
        <v>68</v>
      </c>
      <c r="B57" s="58">
        <f t="shared" ref="B57:N57" si="102">B25</f>
        <v>15497</v>
      </c>
      <c r="C57" s="59">
        <f t="shared" si="102"/>
        <v>16079</v>
      </c>
      <c r="D57" s="59">
        <f t="shared" si="102"/>
        <v>19638</v>
      </c>
      <c r="E57" s="59">
        <f t="shared" si="102"/>
        <v>19913</v>
      </c>
      <c r="F57" s="59">
        <f t="shared" si="102"/>
        <v>17940</v>
      </c>
      <c r="G57" s="59">
        <f t="shared" si="102"/>
        <v>20707</v>
      </c>
      <c r="H57" s="59">
        <f t="shared" si="102"/>
        <v>20453</v>
      </c>
      <c r="I57" s="59">
        <f t="shared" si="102"/>
        <v>20946</v>
      </c>
      <c r="J57" s="59">
        <f t="shared" si="102"/>
        <v>29661</v>
      </c>
      <c r="K57" s="59">
        <f t="shared" si="102"/>
        <v>30967</v>
      </c>
      <c r="L57" s="26">
        <f t="shared" si="102"/>
        <v>32224</v>
      </c>
      <c r="M57" s="59">
        <f t="shared" si="102"/>
        <v>32177</v>
      </c>
      <c r="N57" s="26">
        <f t="shared" si="102"/>
        <v>36448</v>
      </c>
    </row>
    <row r="58" spans="1:14" x14ac:dyDescent="0.25">
      <c r="A58" s="86" t="s">
        <v>69</v>
      </c>
      <c r="B58" s="58">
        <f t="shared" ref="B58:N58" si="103">B26</f>
        <v>2780</v>
      </c>
      <c r="C58" s="59">
        <f t="shared" si="103"/>
        <v>4361</v>
      </c>
      <c r="D58" s="59">
        <f t="shared" si="103"/>
        <v>5938</v>
      </c>
      <c r="E58" s="59">
        <f t="shared" si="103"/>
        <v>8464</v>
      </c>
      <c r="F58" s="59">
        <f t="shared" si="103"/>
        <v>7307</v>
      </c>
      <c r="G58" s="59">
        <f t="shared" si="103"/>
        <v>9926</v>
      </c>
      <c r="H58" s="59">
        <f t="shared" si="103"/>
        <v>9265</v>
      </c>
      <c r="I58" s="59">
        <f t="shared" si="103"/>
        <v>9324</v>
      </c>
      <c r="J58" s="59">
        <f t="shared" si="103"/>
        <v>9811</v>
      </c>
      <c r="K58" s="59">
        <f t="shared" si="103"/>
        <v>13695</v>
      </c>
      <c r="L58" s="26">
        <f t="shared" si="103"/>
        <v>9582</v>
      </c>
      <c r="M58" s="59">
        <f t="shared" si="103"/>
        <v>7684</v>
      </c>
      <c r="N58" s="26">
        <f t="shared" si="103"/>
        <v>9896</v>
      </c>
    </row>
    <row r="59" spans="1:14" x14ac:dyDescent="0.25">
      <c r="A59" s="18" t="s">
        <v>89</v>
      </c>
      <c r="B59" s="87">
        <f>SUM(B56:B58)</f>
        <v>47904</v>
      </c>
      <c r="C59" s="10">
        <f t="shared" ref="C59:I59" si="104">SUM(C56:C58)</f>
        <v>47820</v>
      </c>
      <c r="D59" s="10">
        <f t="shared" si="104"/>
        <v>52863</v>
      </c>
      <c r="E59" s="10">
        <f t="shared" si="104"/>
        <v>57473</v>
      </c>
      <c r="F59" s="10">
        <f t="shared" si="104"/>
        <v>57403</v>
      </c>
      <c r="G59" s="10">
        <f t="shared" si="104"/>
        <v>61935</v>
      </c>
      <c r="H59" s="10">
        <f t="shared" si="104"/>
        <v>58343</v>
      </c>
      <c r="I59" s="10">
        <f t="shared" si="104"/>
        <v>61784</v>
      </c>
      <c r="J59" s="10">
        <f t="shared" ref="J59" si="105">SUM(J56:J58)</f>
        <v>74528</v>
      </c>
      <c r="K59" s="10">
        <f t="shared" ref="K59" si="106">SUM(K56:K58)</f>
        <v>79478</v>
      </c>
      <c r="L59" s="28">
        <f t="shared" ref="L59" si="107">SUM(L56:L58)</f>
        <v>86425</v>
      </c>
      <c r="M59" s="10">
        <f t="shared" ref="M59" si="108">SUM(M56:M58)</f>
        <v>87907</v>
      </c>
      <c r="N59" s="28">
        <f t="shared" ref="N59" si="109">SUM(N56:N58)</f>
        <v>97328</v>
      </c>
    </row>
    <row r="60" spans="1:14" x14ac:dyDescent="0.25">
      <c r="A60" s="83"/>
      <c r="B60" s="84"/>
      <c r="C60" s="84"/>
      <c r="D60" s="84"/>
      <c r="E60" s="84"/>
      <c r="F60" s="84"/>
      <c r="G60" s="94"/>
      <c r="H60" s="84"/>
      <c r="I60" s="84"/>
      <c r="J60" s="94"/>
      <c r="K60" s="94"/>
      <c r="L60" s="84"/>
      <c r="M60" s="94"/>
      <c r="N60" s="84"/>
    </row>
    <row r="61" spans="1:14" x14ac:dyDescent="0.25">
      <c r="A61" s="23" t="s">
        <v>90</v>
      </c>
      <c r="B61" s="88">
        <f>B23-B27</f>
        <v>43651</v>
      </c>
      <c r="C61" s="21">
        <f t="shared" ref="C61:I61" si="110">C23-C27</f>
        <v>46643</v>
      </c>
      <c r="D61" s="21">
        <f t="shared" si="110"/>
        <v>42063</v>
      </c>
      <c r="E61" s="21">
        <f t="shared" si="110"/>
        <v>45354</v>
      </c>
      <c r="F61" s="21">
        <f t="shared" si="110"/>
        <v>46840</v>
      </c>
      <c r="G61" s="21">
        <f t="shared" si="110"/>
        <v>46347</v>
      </c>
      <c r="H61" s="21">
        <f t="shared" si="110"/>
        <v>43593</v>
      </c>
      <c r="I61" s="21">
        <f t="shared" si="110"/>
        <v>43095</v>
      </c>
      <c r="J61" s="21">
        <f t="shared" ref="J61" si="111">J23-J27</f>
        <v>45820</v>
      </c>
      <c r="K61" s="21">
        <f t="shared" ref="K61" si="112">K23-K27</f>
        <v>46239</v>
      </c>
      <c r="L61" s="22">
        <f t="shared" ref="L61" si="113">L23-L27</f>
        <v>49686</v>
      </c>
      <c r="M61" s="21">
        <f t="shared" ref="M61" si="114">M23-M27</f>
        <v>51008</v>
      </c>
      <c r="N61" s="22">
        <f t="shared" ref="N61" si="115">N23-N27</f>
        <v>52920</v>
      </c>
    </row>
    <row r="62" spans="1:14" x14ac:dyDescent="0.25">
      <c r="A62" s="82" t="s">
        <v>91</v>
      </c>
    </row>
  </sheetData>
  <pageMargins left="0.7" right="0.7" top="0.78740157499999996" bottom="0.78740157499999996" header="0.3" footer="0.3"/>
  <pageSetup paperSize="9" scale="54" orientation="landscape" r:id="rId1"/>
  <headerFooter>
    <oddFooter>&amp;L&amp;9DT &lt;&amp;F/&amp;A&gt; &amp;D &amp;T</oddFooter>
  </headerFooter>
  <ignoredErrors>
    <ignoredError sqref="B39:I39 B45:G45 H45:I45 B51:I51 H27:I28 B27:G28 B30:I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N62"/>
  <sheetViews>
    <sheetView zoomScaleNormal="10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27.42578125" customWidth="1"/>
    <col min="3" max="11" width="11.42578125" customWidth="1"/>
  </cols>
  <sheetData>
    <row r="1" spans="1:14" x14ac:dyDescent="0.25">
      <c r="A1" s="1" t="s">
        <v>24</v>
      </c>
      <c r="B1" s="2"/>
      <c r="C1" s="31">
        <v>2008</v>
      </c>
      <c r="D1" s="11">
        <v>2009</v>
      </c>
      <c r="E1" s="11">
        <v>2010</v>
      </c>
      <c r="F1" s="11">
        <v>2011</v>
      </c>
      <c r="G1" s="79">
        <v>2012</v>
      </c>
      <c r="H1" s="79">
        <v>2013</v>
      </c>
      <c r="I1" s="79">
        <v>2014</v>
      </c>
      <c r="J1" s="79">
        <v>2015</v>
      </c>
      <c r="K1" s="79">
        <v>2016</v>
      </c>
      <c r="L1" s="75">
        <v>2017</v>
      </c>
      <c r="M1" s="79">
        <v>2018</v>
      </c>
      <c r="N1" s="75">
        <v>2019</v>
      </c>
    </row>
    <row r="2" spans="1:14" x14ac:dyDescent="0.25">
      <c r="B2" s="17" t="s">
        <v>6</v>
      </c>
      <c r="C2" s="32">
        <f t="shared" ref="C2:N2" si="0">C20/B24</f>
        <v>0.14678439476485691</v>
      </c>
      <c r="D2" s="33">
        <f t="shared" si="0"/>
        <v>2.4366106772226382E-2</v>
      </c>
      <c r="E2" s="33">
        <f t="shared" si="0"/>
        <v>0.19305370024044885</v>
      </c>
      <c r="F2" s="33">
        <f t="shared" si="0"/>
        <v>0.32433486615207752</v>
      </c>
      <c r="G2" s="33">
        <f t="shared" si="0"/>
        <v>0.34537677179025794</v>
      </c>
      <c r="H2" s="33">
        <f t="shared" si="0"/>
        <v>0.11153119092627599</v>
      </c>
      <c r="I2" s="33">
        <f t="shared" si="0"/>
        <v>0.12292724102313493</v>
      </c>
      <c r="J2" s="33">
        <f t="shared" si="0"/>
        <v>-1.5090532104802138E-2</v>
      </c>
      <c r="K2" s="33">
        <f t="shared" si="0"/>
        <v>6.0938031041123823E-2</v>
      </c>
      <c r="L2" s="34">
        <f t="shared" si="0"/>
        <v>0.12434103481939472</v>
      </c>
      <c r="M2" s="33">
        <f t="shared" si="0"/>
        <v>0.11141670562996782</v>
      </c>
      <c r="N2" s="34">
        <f t="shared" si="0"/>
        <v>0.11955651003050911</v>
      </c>
    </row>
    <row r="3" spans="1:14" x14ac:dyDescent="0.25">
      <c r="B3" s="17" t="s">
        <v>7</v>
      </c>
      <c r="C3" s="32">
        <f t="shared" ref="C3:J3" si="1">C20/C15</f>
        <v>4.1192183326303949E-2</v>
      </c>
      <c r="D3" s="33">
        <f t="shared" si="1"/>
        <v>8.6607660642474826E-3</v>
      </c>
      <c r="E3" s="33">
        <f t="shared" si="1"/>
        <v>5.6953694581280787E-2</v>
      </c>
      <c r="F3" s="33">
        <f t="shared" si="1"/>
        <v>9.9154621964766501E-2</v>
      </c>
      <c r="G3" s="33">
        <f t="shared" si="1"/>
        <v>0.11356370279640432</v>
      </c>
      <c r="H3" s="33">
        <f t="shared" si="1"/>
        <v>4.6419670367042795E-2</v>
      </c>
      <c r="I3" s="33">
        <f t="shared" si="1"/>
        <v>5.4668128698297916E-2</v>
      </c>
      <c r="J3" s="33">
        <f t="shared" si="1"/>
        <v>-6.3809238039870221E-3</v>
      </c>
      <c r="K3" s="33">
        <f t="shared" ref="K3" si="2">K20/K15</f>
        <v>2.4757556370732785E-2</v>
      </c>
      <c r="L3" s="34">
        <f t="shared" ref="L3" si="3">L20/L15</f>
        <v>4.9936832934001307E-2</v>
      </c>
      <c r="M3" s="33">
        <f t="shared" ref="M3" si="4">M20/M15</f>
        <v>5.1528732366895771E-2</v>
      </c>
      <c r="N3" s="34">
        <f t="shared" ref="N3" si="5">N20/N15</f>
        <v>5.5531365781057031E-2</v>
      </c>
    </row>
    <row r="4" spans="1:14" x14ac:dyDescent="0.25">
      <c r="B4" s="15" t="s">
        <v>11</v>
      </c>
      <c r="C4" s="35">
        <f t="shared" ref="C4:N4" si="6">C15/((B27+C27)/2)</f>
        <v>1.0241163343171837</v>
      </c>
      <c r="D4" s="36">
        <f t="shared" si="6"/>
        <v>0.8459354693431127</v>
      </c>
      <c r="E4" s="36">
        <f t="shared" si="6"/>
        <v>0.93939730490152529</v>
      </c>
      <c r="F4" s="36">
        <f t="shared" si="6"/>
        <v>1.0122161942393941</v>
      </c>
      <c r="G4" s="36">
        <f t="shared" si="6"/>
        <v>0.97000025171797521</v>
      </c>
      <c r="H4" s="36">
        <f t="shared" si="6"/>
        <v>0.86234110725916591</v>
      </c>
      <c r="I4" s="36">
        <f t="shared" si="6"/>
        <v>0.83095487286831249</v>
      </c>
      <c r="J4" s="36">
        <f t="shared" si="6"/>
        <v>0.82769968082113377</v>
      </c>
      <c r="K4" s="36">
        <f t="shared" si="6"/>
        <v>0.80256579324050525</v>
      </c>
      <c r="L4" s="37">
        <f t="shared" si="6"/>
        <v>0.78438407654194431</v>
      </c>
      <c r="M4" s="36">
        <f t="shared" si="6"/>
        <v>0.72950397540368794</v>
      </c>
      <c r="N4" s="37">
        <f t="shared" si="6"/>
        <v>0.71382111523953495</v>
      </c>
    </row>
    <row r="5" spans="1:14" x14ac:dyDescent="0.25">
      <c r="B5" s="16" t="s">
        <v>8</v>
      </c>
      <c r="C5" s="50">
        <f t="shared" ref="C5:N5" si="7">((B27+C27)/2)/B24</f>
        <v>3.4794915148099443</v>
      </c>
      <c r="D5" s="51">
        <f t="shared" si="7"/>
        <v>3.325772975286188</v>
      </c>
      <c r="E5" s="51">
        <f t="shared" si="7"/>
        <v>3.6083355597114615</v>
      </c>
      <c r="F5" s="51">
        <f t="shared" si="7"/>
        <v>3.2315240597799311</v>
      </c>
      <c r="G5" s="51">
        <f t="shared" si="7"/>
        <v>3.1353190011680399</v>
      </c>
      <c r="H5" s="51">
        <f t="shared" si="7"/>
        <v>2.7862186718702362</v>
      </c>
      <c r="I5" s="51">
        <f t="shared" si="7"/>
        <v>2.7060541777269345</v>
      </c>
      <c r="J5" s="51">
        <f t="shared" si="7"/>
        <v>2.85724977547151</v>
      </c>
      <c r="K5" s="51">
        <f t="shared" si="7"/>
        <v>3.0669026849439223</v>
      </c>
      <c r="L5" s="52">
        <f t="shared" si="7"/>
        <v>3.1744223885453953</v>
      </c>
      <c r="M5" s="51">
        <f t="shared" si="7"/>
        <v>2.9639658223090111</v>
      </c>
      <c r="N5" s="52">
        <f t="shared" si="7"/>
        <v>3.0160982427434337</v>
      </c>
    </row>
    <row r="6" spans="1:14" s="9" customFormat="1" ht="11.25" x14ac:dyDescent="0.2">
      <c r="B6" s="29" t="s">
        <v>85</v>
      </c>
      <c r="C6" s="38">
        <f t="shared" ref="C6:J6" si="8">C3*C4*C5</f>
        <v>0.14678439476485688</v>
      </c>
      <c r="D6" s="39">
        <f t="shared" si="8"/>
        <v>2.4366106772226382E-2</v>
      </c>
      <c r="E6" s="39">
        <f t="shared" si="8"/>
        <v>0.19305370024044885</v>
      </c>
      <c r="F6" s="39">
        <f t="shared" si="8"/>
        <v>0.32433486615207752</v>
      </c>
      <c r="G6" s="39">
        <f t="shared" si="8"/>
        <v>0.34537677179025789</v>
      </c>
      <c r="H6" s="39">
        <f t="shared" si="8"/>
        <v>0.111531190926276</v>
      </c>
      <c r="I6" s="39">
        <f t="shared" si="8"/>
        <v>0.12292724102313492</v>
      </c>
      <c r="J6" s="39">
        <f t="shared" si="8"/>
        <v>-1.5090532104802138E-2</v>
      </c>
      <c r="K6" s="39">
        <f t="shared" ref="K6" si="9">K3*K4*K5</f>
        <v>6.0938031041123823E-2</v>
      </c>
      <c r="L6" s="40">
        <f t="shared" ref="L6" si="10">L3*L4*L5</f>
        <v>0.12434103481939472</v>
      </c>
      <c r="M6" s="39">
        <f t="shared" ref="M6" si="11">M3*M4*M5</f>
        <v>0.11141670562996783</v>
      </c>
      <c r="N6" s="40">
        <f t="shared" ref="N6" si="12">N3*N4*N5</f>
        <v>0.11955651003050913</v>
      </c>
    </row>
    <row r="7" spans="1:14" x14ac:dyDescent="0.25">
      <c r="B7" s="20" t="s">
        <v>9</v>
      </c>
      <c r="C7" s="44">
        <f t="shared" ref="C7:N7" si="13">C17/((B30+C30)/2)</f>
        <v>0.12404755841968151</v>
      </c>
      <c r="D7" s="45">
        <f t="shared" si="13"/>
        <v>3.4790926226356704E-2</v>
      </c>
      <c r="E7" s="45">
        <f t="shared" si="13"/>
        <v>0.14054873248307354</v>
      </c>
      <c r="F7" s="45">
        <f t="shared" si="13"/>
        <v>0.18806313822331977</v>
      </c>
      <c r="G7" s="45">
        <f t="shared" si="13"/>
        <v>0.12589510566079054</v>
      </c>
      <c r="H7" s="45">
        <f t="shared" si="13"/>
        <v>9.2735912023646824E-2</v>
      </c>
      <c r="I7" s="45">
        <f t="shared" si="13"/>
        <v>8.8768483238368237E-2</v>
      </c>
      <c r="J7" s="45">
        <f t="shared" si="13"/>
        <v>-2.7720721733413722E-2</v>
      </c>
      <c r="K7" s="45">
        <f t="shared" si="13"/>
        <v>4.7664423134994395E-2</v>
      </c>
      <c r="L7" s="46">
        <f t="shared" si="13"/>
        <v>8.4209884819306483E-2</v>
      </c>
      <c r="M7" s="45">
        <f t="shared" si="13"/>
        <v>7.6385725966208101E-2</v>
      </c>
      <c r="N7" s="46">
        <f t="shared" si="13"/>
        <v>8.5917415740297501E-2</v>
      </c>
    </row>
    <row r="8" spans="1:14" x14ac:dyDescent="0.25">
      <c r="B8" s="17" t="s">
        <v>10</v>
      </c>
      <c r="C8" s="32">
        <f t="shared" ref="C8:J8" si="14">C17/C15</f>
        <v>5.564635175031632E-2</v>
      </c>
      <c r="D8" s="33">
        <f t="shared" si="14"/>
        <v>1.7635259109966061E-2</v>
      </c>
      <c r="E8" s="33">
        <f t="shared" si="14"/>
        <v>5.6283743842364529E-2</v>
      </c>
      <c r="F8" s="33">
        <f t="shared" si="14"/>
        <v>7.0736865888023498E-2</v>
      </c>
      <c r="G8" s="33">
        <f t="shared" si="14"/>
        <v>5.9675309846581828E-2</v>
      </c>
      <c r="H8" s="33">
        <f t="shared" si="14"/>
        <v>5.9241549792646959E-2</v>
      </c>
      <c r="I8" s="33">
        <f t="shared" si="14"/>
        <v>6.2714241966234971E-2</v>
      </c>
      <c r="J8" s="33">
        <f t="shared" si="14"/>
        <v>-1.9077133694653338E-2</v>
      </c>
      <c r="K8" s="33">
        <f t="shared" ref="K8" si="15">K17/K15</f>
        <v>3.2692493567822084E-2</v>
      </c>
      <c r="L8" s="34">
        <f t="shared" ref="L8" si="16">L17/L15</f>
        <v>6.019603572206491E-2</v>
      </c>
      <c r="M8" s="33">
        <f t="shared" ref="M8" si="17">M17/M15</f>
        <v>5.9020814164995397E-2</v>
      </c>
      <c r="N8" s="34">
        <f t="shared" ref="N8" si="18">N17/N15</f>
        <v>6.7137179771367045E-2</v>
      </c>
    </row>
    <row r="9" spans="1:14" x14ac:dyDescent="0.25">
      <c r="B9" s="16" t="s">
        <v>30</v>
      </c>
      <c r="C9" s="47">
        <f t="shared" ref="C9:N9" si="19">C15/((B30+C30)/2)</f>
        <v>2.2292127788768537</v>
      </c>
      <c r="D9" s="48">
        <f t="shared" si="19"/>
        <v>1.9728049363729288</v>
      </c>
      <c r="E9" s="48">
        <f t="shared" si="19"/>
        <v>2.497146118721461</v>
      </c>
      <c r="F9" s="48">
        <f t="shared" si="19"/>
        <v>2.6586297804178067</v>
      </c>
      <c r="G9" s="48">
        <f t="shared" si="19"/>
        <v>2.1096682360670096</v>
      </c>
      <c r="H9" s="48">
        <f t="shared" si="19"/>
        <v>1.5653863267965547</v>
      </c>
      <c r="I9" s="48">
        <f t="shared" si="19"/>
        <v>1.4154437725032334</v>
      </c>
      <c r="J9" s="48">
        <f t="shared" si="19"/>
        <v>1.4530863062087196</v>
      </c>
      <c r="K9" s="48">
        <f t="shared" si="19"/>
        <v>1.4579623006153495</v>
      </c>
      <c r="L9" s="49">
        <f t="shared" si="19"/>
        <v>1.3989274178804314</v>
      </c>
      <c r="M9" s="48">
        <f t="shared" si="19"/>
        <v>1.2942167444974291</v>
      </c>
      <c r="N9" s="49">
        <f t="shared" si="19"/>
        <v>1.2797292950476291</v>
      </c>
    </row>
    <row r="10" spans="1:14" s="9" customFormat="1" ht="11.25" x14ac:dyDescent="0.2">
      <c r="B10" s="30" t="s">
        <v>85</v>
      </c>
      <c r="C10" s="41">
        <f t="shared" ref="C10:J10" si="20">C8*C9</f>
        <v>0.12404755841968151</v>
      </c>
      <c r="D10" s="42">
        <f t="shared" si="20"/>
        <v>3.4790926226356704E-2</v>
      </c>
      <c r="E10" s="42">
        <f t="shared" si="20"/>
        <v>0.14054873248307351</v>
      </c>
      <c r="F10" s="42">
        <f t="shared" si="20"/>
        <v>0.18806313822331974</v>
      </c>
      <c r="G10" s="42">
        <f t="shared" si="20"/>
        <v>0.12589510566079054</v>
      </c>
      <c r="H10" s="42">
        <f t="shared" si="20"/>
        <v>9.2735912023646824E-2</v>
      </c>
      <c r="I10" s="42">
        <f t="shared" si="20"/>
        <v>8.8768483238368223E-2</v>
      </c>
      <c r="J10" s="42">
        <f t="shared" si="20"/>
        <v>-2.7720721733413722E-2</v>
      </c>
      <c r="K10" s="42">
        <f t="shared" ref="K10" si="21">K8*K9</f>
        <v>4.7664423134994402E-2</v>
      </c>
      <c r="L10" s="43">
        <f t="shared" ref="L10" si="22">L8*L9</f>
        <v>8.4209884819306469E-2</v>
      </c>
      <c r="M10" s="42">
        <f t="shared" ref="M10" si="23">M8*M9</f>
        <v>7.6385725966208087E-2</v>
      </c>
      <c r="N10" s="43">
        <f t="shared" ref="N10" si="24">N8*N9</f>
        <v>8.5917415740297487E-2</v>
      </c>
    </row>
    <row r="11" spans="1:14" x14ac:dyDescent="0.25">
      <c r="B11" s="20" t="s">
        <v>28</v>
      </c>
      <c r="C11" s="44">
        <f t="shared" ref="C11:G11" si="25">(C19+C21)/((B27+C27)/2)</f>
        <v>7.4553667842487945E-2</v>
      </c>
      <c r="D11" s="45">
        <f t="shared" si="25"/>
        <v>2.5123849964614295E-2</v>
      </c>
      <c r="E11" s="45">
        <f t="shared" si="25"/>
        <v>8.0497556641492676E-2</v>
      </c>
      <c r="F11" s="45">
        <f t="shared" si="25"/>
        <v>0.13209752626831159</v>
      </c>
      <c r="G11" s="45">
        <f t="shared" si="25"/>
        <v>0.13917486847735797</v>
      </c>
      <c r="H11" s="45">
        <f t="shared" ref="H11:N11" si="26">(H19+H21)/((G27+H27)/2)</f>
        <v>6.4314353748643069E-2</v>
      </c>
      <c r="I11" s="45">
        <f t="shared" si="26"/>
        <v>6.9917297707730516E-2</v>
      </c>
      <c r="J11" s="45">
        <f t="shared" si="26"/>
        <v>3.9388030307440066E-3</v>
      </c>
      <c r="K11" s="45">
        <f t="shared" si="26"/>
        <v>3.764837994130369E-2</v>
      </c>
      <c r="L11" s="46">
        <f t="shared" si="26"/>
        <v>5.4638646847770374E-2</v>
      </c>
      <c r="M11" s="45">
        <f t="shared" si="26"/>
        <v>5.3170347710566487E-2</v>
      </c>
      <c r="N11" s="46">
        <f t="shared" si="26"/>
        <v>5.8997216845852817E-2</v>
      </c>
    </row>
    <row r="12" spans="1:14" x14ac:dyDescent="0.25">
      <c r="B12" s="20" t="s">
        <v>29</v>
      </c>
      <c r="C12" s="44">
        <f t="shared" ref="C12:N12" si="27">C20/((B27+C27)/2)</f>
        <v>4.2185587790655822E-2</v>
      </c>
      <c r="D12" s="45">
        <f t="shared" si="27"/>
        <v>7.326449205430097E-3</v>
      </c>
      <c r="E12" s="45">
        <f t="shared" si="27"/>
        <v>5.3502147193839777E-2</v>
      </c>
      <c r="F12" s="45">
        <f t="shared" si="27"/>
        <v>0.10036591408642179</v>
      </c>
      <c r="G12" s="45">
        <f t="shared" si="27"/>
        <v>0.11015682029853752</v>
      </c>
      <c r="H12" s="45">
        <f t="shared" si="27"/>
        <v>4.0029589942921176E-2</v>
      </c>
      <c r="I12" s="45">
        <f t="shared" si="27"/>
        <v>4.5426747932442696E-2</v>
      </c>
      <c r="J12" s="45">
        <f t="shared" si="27"/>
        <v>-5.2814885959040327E-3</v>
      </c>
      <c r="K12" s="45">
        <f t="shared" si="27"/>
        <v>1.9869567867373681E-2</v>
      </c>
      <c r="L12" s="46">
        <f t="shared" si="27"/>
        <v>3.9169656586365967E-2</v>
      </c>
      <c r="M12" s="45">
        <f t="shared" si="27"/>
        <v>3.7590415109163146E-2</v>
      </c>
      <c r="N12" s="46">
        <f t="shared" si="27"/>
        <v>3.9639461452608681E-2</v>
      </c>
    </row>
    <row r="13" spans="1:14" s="6" customFormat="1" x14ac:dyDescent="0.25">
      <c r="A13"/>
      <c r="B13"/>
      <c r="C13"/>
      <c r="D13"/>
      <c r="E13"/>
      <c r="F13"/>
      <c r="G13" s="2"/>
      <c r="H13"/>
      <c r="I13" s="2"/>
      <c r="J13" s="2"/>
      <c r="K13" s="2"/>
      <c r="L13" s="2"/>
      <c r="M13" s="2"/>
      <c r="N13" s="2"/>
    </row>
    <row r="14" spans="1:14" x14ac:dyDescent="0.25">
      <c r="A14" s="82" t="s">
        <v>63</v>
      </c>
      <c r="B14" s="12"/>
      <c r="C14" s="11">
        <v>2008</v>
      </c>
      <c r="D14" s="11">
        <v>2009</v>
      </c>
      <c r="E14" s="11">
        <v>2010</v>
      </c>
      <c r="F14" s="11">
        <v>2011</v>
      </c>
      <c r="G14" s="79">
        <v>2012</v>
      </c>
      <c r="H14" s="79">
        <v>2013</v>
      </c>
      <c r="I14" s="79">
        <v>2014</v>
      </c>
      <c r="J14" s="79">
        <v>2015</v>
      </c>
      <c r="K14" s="79">
        <v>2016</v>
      </c>
      <c r="L14" s="75">
        <f>L1</f>
        <v>2017</v>
      </c>
      <c r="M14" s="79">
        <f>M1</f>
        <v>2018</v>
      </c>
      <c r="N14" s="75">
        <f>N1</f>
        <v>2019</v>
      </c>
    </row>
    <row r="15" spans="1:14" x14ac:dyDescent="0.25">
      <c r="A15" s="23" t="s">
        <v>64</v>
      </c>
      <c r="B15" s="24"/>
      <c r="C15" s="24">
        <v>113808</v>
      </c>
      <c r="D15" s="24">
        <v>105187</v>
      </c>
      <c r="E15" s="24">
        <v>126875</v>
      </c>
      <c r="F15" s="24">
        <v>159337</v>
      </c>
      <c r="G15" s="24">
        <v>192676</v>
      </c>
      <c r="H15" s="24">
        <v>197007</v>
      </c>
      <c r="I15" s="24">
        <v>202458</v>
      </c>
      <c r="J15" s="24">
        <v>213292</v>
      </c>
      <c r="K15" s="24">
        <v>217267</v>
      </c>
      <c r="L15" s="25">
        <v>229550</v>
      </c>
      <c r="M15" s="133">
        <v>235849</v>
      </c>
      <c r="N15" s="110">
        <v>252632</v>
      </c>
    </row>
    <row r="16" spans="1:14" x14ac:dyDescent="0.25">
      <c r="A16" s="15" t="s">
        <v>0</v>
      </c>
      <c r="B16" s="3"/>
      <c r="C16" s="54">
        <f>C17+6590</f>
        <v>12923</v>
      </c>
      <c r="D16" s="54">
        <f>D17+6623</f>
        <v>8478</v>
      </c>
      <c r="E16" s="54">
        <f>E17+7809</f>
        <v>14950</v>
      </c>
      <c r="F16" s="54">
        <f>F17+7723</f>
        <v>18994</v>
      </c>
      <c r="G16" s="59">
        <f>G17+9564</f>
        <v>21062</v>
      </c>
      <c r="H16" s="56">
        <f>H17+10492</f>
        <v>22163</v>
      </c>
      <c r="I16" s="56">
        <f>I17+11752</f>
        <v>24449</v>
      </c>
      <c r="J16" s="56">
        <v>7212</v>
      </c>
      <c r="K16" s="56">
        <f>K18+10100</f>
        <v>17203</v>
      </c>
      <c r="L16" s="57">
        <f>L18+10562</f>
        <v>24380</v>
      </c>
      <c r="M16" s="137">
        <f>M18+11034</f>
        <v>24954</v>
      </c>
      <c r="N16" s="111">
        <f>N18+11034</f>
        <v>27994</v>
      </c>
    </row>
    <row r="17" spans="1:14" x14ac:dyDescent="0.25">
      <c r="A17" s="15" t="s">
        <v>1</v>
      </c>
      <c r="B17" s="3"/>
      <c r="C17" s="3">
        <v>6333</v>
      </c>
      <c r="D17" s="3">
        <v>1855</v>
      </c>
      <c r="E17" s="3">
        <v>7141</v>
      </c>
      <c r="F17" s="3">
        <v>11271</v>
      </c>
      <c r="G17" s="59">
        <f t="shared" ref="G17:M17" si="28">G18</f>
        <v>11498</v>
      </c>
      <c r="H17" s="5">
        <f t="shared" si="28"/>
        <v>11671</v>
      </c>
      <c r="I17" s="5">
        <f t="shared" si="28"/>
        <v>12697</v>
      </c>
      <c r="J17" s="5">
        <f t="shared" si="28"/>
        <v>-4069</v>
      </c>
      <c r="K17" s="5">
        <f t="shared" si="28"/>
        <v>7103</v>
      </c>
      <c r="L17" s="76">
        <f t="shared" si="28"/>
        <v>13818</v>
      </c>
      <c r="M17" s="5">
        <f t="shared" si="28"/>
        <v>13920</v>
      </c>
      <c r="N17" s="76">
        <f>N18+1</f>
        <v>16961</v>
      </c>
    </row>
    <row r="18" spans="1:14" x14ac:dyDescent="0.25">
      <c r="A18" s="15" t="s">
        <v>2</v>
      </c>
      <c r="B18" s="3"/>
      <c r="C18" s="3">
        <v>6333</v>
      </c>
      <c r="D18" s="3">
        <v>1855</v>
      </c>
      <c r="E18" s="3">
        <v>7141</v>
      </c>
      <c r="F18" s="3">
        <v>11271</v>
      </c>
      <c r="G18" s="59">
        <v>11498</v>
      </c>
      <c r="H18" s="5">
        <v>11671</v>
      </c>
      <c r="I18" s="5">
        <v>12697</v>
      </c>
      <c r="J18" s="5">
        <v>-4069</v>
      </c>
      <c r="K18" s="5">
        <v>7103</v>
      </c>
      <c r="L18" s="76">
        <v>13818</v>
      </c>
      <c r="M18" s="5">
        <v>13920</v>
      </c>
      <c r="N18" s="76">
        <v>16960</v>
      </c>
    </row>
    <row r="19" spans="1:14" x14ac:dyDescent="0.25">
      <c r="A19" s="15" t="s">
        <v>3</v>
      </c>
      <c r="B19" s="3"/>
      <c r="C19" s="3">
        <v>6608</v>
      </c>
      <c r="D19" s="3">
        <v>1261</v>
      </c>
      <c r="E19" s="3">
        <v>8994</v>
      </c>
      <c r="F19" s="3">
        <v>18926</v>
      </c>
      <c r="G19" s="59">
        <v>25487</v>
      </c>
      <c r="H19" s="59">
        <v>12428</v>
      </c>
      <c r="I19" s="59">
        <v>14794</v>
      </c>
      <c r="J19" s="59">
        <v>-1301</v>
      </c>
      <c r="K19" s="59">
        <v>7292</v>
      </c>
      <c r="L19" s="26">
        <v>13673</v>
      </c>
      <c r="M19" s="5">
        <v>15643</v>
      </c>
      <c r="N19" s="76">
        <v>18356</v>
      </c>
    </row>
    <row r="20" spans="1:14" x14ac:dyDescent="0.25">
      <c r="A20" s="16" t="s">
        <v>4</v>
      </c>
      <c r="B20" s="4"/>
      <c r="C20" s="4">
        <v>4688</v>
      </c>
      <c r="D20" s="4">
        <v>911</v>
      </c>
      <c r="E20" s="4">
        <v>7226</v>
      </c>
      <c r="F20" s="4">
        <v>15799</v>
      </c>
      <c r="G20" s="4">
        <v>21881</v>
      </c>
      <c r="H20" s="4">
        <v>9145</v>
      </c>
      <c r="I20" s="4">
        <v>11068</v>
      </c>
      <c r="J20" s="4">
        <v>-1361</v>
      </c>
      <c r="K20" s="4">
        <v>5379</v>
      </c>
      <c r="L20" s="27">
        <v>11463</v>
      </c>
      <c r="M20" s="136">
        <v>12153</v>
      </c>
      <c r="N20" s="109">
        <v>14029</v>
      </c>
    </row>
    <row r="21" spans="1:14" x14ac:dyDescent="0.25">
      <c r="A21" s="16" t="s">
        <v>65</v>
      </c>
      <c r="B21" s="4"/>
      <c r="C21" s="4">
        <v>1677</v>
      </c>
      <c r="D21" s="4">
        <v>1863</v>
      </c>
      <c r="E21" s="4">
        <v>1878</v>
      </c>
      <c r="F21" s="4">
        <v>1868</v>
      </c>
      <c r="G21" s="4">
        <v>2158</v>
      </c>
      <c r="H21" s="4">
        <v>2265</v>
      </c>
      <c r="I21" s="4">
        <v>2241</v>
      </c>
      <c r="J21" s="4">
        <v>2316</v>
      </c>
      <c r="K21" s="4">
        <v>2900</v>
      </c>
      <c r="L21" s="27">
        <v>2317</v>
      </c>
      <c r="M21" s="136">
        <v>1547</v>
      </c>
      <c r="N21" s="109">
        <v>2524</v>
      </c>
    </row>
    <row r="22" spans="1:14" x14ac:dyDescent="0.25">
      <c r="A22" s="16"/>
      <c r="B22" s="13">
        <v>39447</v>
      </c>
      <c r="C22" s="13">
        <v>39813</v>
      </c>
      <c r="D22" s="13">
        <v>40178</v>
      </c>
      <c r="E22" s="13">
        <v>40543</v>
      </c>
      <c r="F22" s="13">
        <v>40908</v>
      </c>
      <c r="G22" s="13">
        <v>41274</v>
      </c>
      <c r="H22" s="13">
        <v>41639</v>
      </c>
      <c r="I22" s="13">
        <v>42004</v>
      </c>
      <c r="J22" s="13">
        <v>42369</v>
      </c>
      <c r="K22" s="13">
        <v>42735</v>
      </c>
      <c r="L22" s="14">
        <v>43100</v>
      </c>
      <c r="M22" s="13">
        <v>43465</v>
      </c>
      <c r="N22" s="14">
        <v>43830</v>
      </c>
    </row>
    <row r="23" spans="1:14" x14ac:dyDescent="0.25">
      <c r="A23" s="20" t="s">
        <v>66</v>
      </c>
      <c r="B23" s="21">
        <v>145357</v>
      </c>
      <c r="C23" s="21">
        <v>167989</v>
      </c>
      <c r="D23" s="21">
        <v>177178</v>
      </c>
      <c r="E23" s="21">
        <v>199393</v>
      </c>
      <c r="F23" s="21">
        <v>253769</v>
      </c>
      <c r="G23" s="21">
        <v>309518</v>
      </c>
      <c r="H23" s="21">
        <v>324333</v>
      </c>
      <c r="I23" s="21">
        <v>351209</v>
      </c>
      <c r="J23" s="21">
        <v>381935</v>
      </c>
      <c r="K23" s="21">
        <v>409732</v>
      </c>
      <c r="L23" s="22">
        <v>422193</v>
      </c>
      <c r="M23" s="53">
        <v>458156</v>
      </c>
      <c r="N23" s="113">
        <v>488071</v>
      </c>
    </row>
    <row r="24" spans="1:14" x14ac:dyDescent="0.25">
      <c r="A24" s="15" t="s">
        <v>67</v>
      </c>
      <c r="B24" s="3">
        <v>31938</v>
      </c>
      <c r="C24" s="3">
        <v>37388</v>
      </c>
      <c r="D24" s="3">
        <v>37430</v>
      </c>
      <c r="E24" s="3">
        <v>48712</v>
      </c>
      <c r="F24" s="3">
        <v>63354</v>
      </c>
      <c r="G24" s="59">
        <v>81995</v>
      </c>
      <c r="H24" s="59">
        <v>90037</v>
      </c>
      <c r="I24" s="59">
        <v>90189</v>
      </c>
      <c r="J24" s="59">
        <v>88270</v>
      </c>
      <c r="K24" s="59">
        <v>92190</v>
      </c>
      <c r="L24" s="26">
        <v>109077</v>
      </c>
      <c r="M24" s="59">
        <v>117342</v>
      </c>
      <c r="N24" s="26">
        <v>123651</v>
      </c>
    </row>
    <row r="25" spans="1:14" x14ac:dyDescent="0.25">
      <c r="A25" s="15" t="s">
        <v>68</v>
      </c>
      <c r="B25" s="3">
        <f>29315+28677</f>
        <v>57992</v>
      </c>
      <c r="C25" s="3">
        <f>33257+36123</f>
        <v>69380</v>
      </c>
      <c r="D25" s="3">
        <f>36993+40606</f>
        <v>77599</v>
      </c>
      <c r="E25" s="3">
        <f>37159+39852</f>
        <v>77011</v>
      </c>
      <c r="F25" s="3">
        <f>44442+49090</f>
        <v>93532</v>
      </c>
      <c r="G25" s="59">
        <f>63603+54060</f>
        <v>117663</v>
      </c>
      <c r="H25" s="59">
        <v>121504</v>
      </c>
      <c r="I25" s="59">
        <v>133980</v>
      </c>
      <c r="J25" s="59">
        <v>145605</v>
      </c>
      <c r="K25" s="59">
        <f>66358+88461</f>
        <v>154819</v>
      </c>
      <c r="L25" s="26">
        <f>81628+81844</f>
        <v>163472</v>
      </c>
      <c r="M25" s="59">
        <f>101126+89757</f>
        <v>190883</v>
      </c>
      <c r="N25" s="26">
        <f>113556+87912</f>
        <v>201468</v>
      </c>
    </row>
    <row r="26" spans="1:14" s="1" customFormat="1" x14ac:dyDescent="0.25">
      <c r="A26" s="15" t="s">
        <v>69</v>
      </c>
      <c r="B26" s="3">
        <v>12603</v>
      </c>
      <c r="C26" s="3">
        <v>12955</v>
      </c>
      <c r="D26" s="3">
        <v>13936</v>
      </c>
      <c r="E26" s="3">
        <v>15432</v>
      </c>
      <c r="F26" s="3">
        <v>16787</v>
      </c>
      <c r="G26" s="59">
        <v>23939</v>
      </c>
      <c r="H26" s="59">
        <v>21774</v>
      </c>
      <c r="I26" s="59">
        <v>29806</v>
      </c>
      <c r="J26" s="59">
        <v>27535</v>
      </c>
      <c r="K26" s="59">
        <v>33012</v>
      </c>
      <c r="L26" s="26">
        <v>32730</v>
      </c>
      <c r="M26" s="59">
        <v>33097</v>
      </c>
      <c r="N26" s="26">
        <v>41389</v>
      </c>
    </row>
    <row r="27" spans="1:14" x14ac:dyDescent="0.25">
      <c r="A27" s="18" t="s">
        <v>70</v>
      </c>
      <c r="B27" s="10">
        <f t="shared" ref="B27:J27" si="29">SUM(B24:B26)</f>
        <v>102533</v>
      </c>
      <c r="C27" s="10">
        <f t="shared" si="29"/>
        <v>119723</v>
      </c>
      <c r="D27" s="10">
        <f t="shared" si="29"/>
        <v>128965</v>
      </c>
      <c r="E27" s="10">
        <f t="shared" si="29"/>
        <v>141155</v>
      </c>
      <c r="F27" s="10">
        <f t="shared" si="29"/>
        <v>173673</v>
      </c>
      <c r="G27" s="10">
        <f t="shared" si="29"/>
        <v>223597</v>
      </c>
      <c r="H27" s="10">
        <f t="shared" si="29"/>
        <v>233315</v>
      </c>
      <c r="I27" s="10">
        <f t="shared" si="29"/>
        <v>253975</v>
      </c>
      <c r="J27" s="10">
        <f t="shared" si="29"/>
        <v>261410</v>
      </c>
      <c r="K27" s="10">
        <f t="shared" ref="K27" si="30">SUM(K24:K26)</f>
        <v>280021</v>
      </c>
      <c r="L27" s="28">
        <f t="shared" ref="L27" si="31">SUM(L24:L26)</f>
        <v>305279</v>
      </c>
      <c r="M27" s="10">
        <f t="shared" ref="M27" si="32">SUM(M24:M26)</f>
        <v>341322</v>
      </c>
      <c r="N27" s="28">
        <f t="shared" ref="N27" si="33">SUM(N24:N26)</f>
        <v>366508</v>
      </c>
    </row>
    <row r="28" spans="1:14" x14ac:dyDescent="0.25">
      <c r="A28" s="15" t="s">
        <v>71</v>
      </c>
      <c r="B28" s="3">
        <v>10112</v>
      </c>
      <c r="C28" s="3">
        <v>9474</v>
      </c>
      <c r="D28" s="3">
        <v>20539</v>
      </c>
      <c r="E28" s="3">
        <v>18670</v>
      </c>
      <c r="F28" s="3">
        <v>18291</v>
      </c>
      <c r="G28" s="59">
        <v>18488</v>
      </c>
      <c r="H28" s="59">
        <v>23178</v>
      </c>
      <c r="I28" s="59">
        <v>19123</v>
      </c>
      <c r="J28" s="59">
        <v>20871</v>
      </c>
      <c r="K28" s="59">
        <v>19265</v>
      </c>
      <c r="L28" s="26">
        <v>18457</v>
      </c>
      <c r="M28" s="59">
        <v>28938</v>
      </c>
      <c r="N28" s="26">
        <v>25923</v>
      </c>
    </row>
    <row r="29" spans="1:14" x14ac:dyDescent="0.25">
      <c r="A29" s="15" t="s">
        <v>72</v>
      </c>
      <c r="B29" s="3">
        <f>B35</f>
        <v>47564</v>
      </c>
      <c r="C29" s="3">
        <f t="shared" ref="C29:J29" si="34">C35</f>
        <v>53000</v>
      </c>
      <c r="D29" s="3">
        <f t="shared" si="34"/>
        <v>59038</v>
      </c>
      <c r="E29" s="3">
        <f t="shared" si="34"/>
        <v>70257</v>
      </c>
      <c r="F29" s="3">
        <f t="shared" si="34"/>
        <v>87746</v>
      </c>
      <c r="G29" s="59">
        <f t="shared" si="34"/>
        <v>90085</v>
      </c>
      <c r="H29" s="59">
        <f t="shared" si="34"/>
        <v>73457</v>
      </c>
      <c r="I29" s="59">
        <f t="shared" si="34"/>
        <v>85462</v>
      </c>
      <c r="J29" s="59">
        <f t="shared" si="34"/>
        <v>96358</v>
      </c>
      <c r="K29" s="59">
        <f t="shared" ref="K29" si="35">K35</f>
        <v>106895</v>
      </c>
      <c r="L29" s="26">
        <f t="shared" ref="L29" si="36">L35</f>
        <v>112503</v>
      </c>
      <c r="M29" s="59">
        <f t="shared" ref="M29" si="37">M35</f>
        <v>122237</v>
      </c>
      <c r="N29" s="26">
        <f t="shared" ref="N29" si="38">N35</f>
        <v>135911</v>
      </c>
    </row>
    <row r="30" spans="1:14" x14ac:dyDescent="0.25">
      <c r="A30" s="18" t="s">
        <v>73</v>
      </c>
      <c r="B30" s="10">
        <f>SUM(B24:B26)-B28-B29</f>
        <v>44857</v>
      </c>
      <c r="C30" s="10">
        <f t="shared" ref="C30:I30" si="39">SUM(C24:C26)-C28-C29</f>
        <v>57249</v>
      </c>
      <c r="D30" s="10">
        <f t="shared" si="39"/>
        <v>49388</v>
      </c>
      <c r="E30" s="10">
        <f t="shared" si="39"/>
        <v>52228</v>
      </c>
      <c r="F30" s="10">
        <f t="shared" si="39"/>
        <v>67636</v>
      </c>
      <c r="G30" s="10">
        <f t="shared" si="39"/>
        <v>115024</v>
      </c>
      <c r="H30" s="10">
        <f t="shared" si="39"/>
        <v>136680</v>
      </c>
      <c r="I30" s="10">
        <f t="shared" si="39"/>
        <v>149390</v>
      </c>
      <c r="J30" s="10">
        <f t="shared" ref="J30" si="40">SUM(J24:J26)-J28-J29</f>
        <v>144181</v>
      </c>
      <c r="K30" s="10">
        <f t="shared" ref="K30" si="41">SUM(K24:K26)-K28-K29</f>
        <v>153861</v>
      </c>
      <c r="L30" s="28">
        <f t="shared" ref="L30" si="42">SUM(L24:L26)-L28-L29</f>
        <v>174319</v>
      </c>
      <c r="M30" s="10">
        <f t="shared" ref="M30" si="43">SUM(M24:M26)-M28-M29</f>
        <v>190147</v>
      </c>
      <c r="N30" s="28">
        <f t="shared" ref="N30" si="44">SUM(N24:N26)-N28-N29</f>
        <v>204674</v>
      </c>
    </row>
    <row r="31" spans="1:14" x14ac:dyDescent="0.25">
      <c r="B31" s="13">
        <v>39447</v>
      </c>
      <c r="C31" s="13">
        <v>39813</v>
      </c>
      <c r="D31" s="13">
        <v>40178</v>
      </c>
      <c r="E31" s="13">
        <v>40543</v>
      </c>
      <c r="F31" s="13">
        <v>40908</v>
      </c>
      <c r="G31" s="13">
        <v>41274</v>
      </c>
      <c r="H31" s="13">
        <v>41639</v>
      </c>
      <c r="I31" s="13">
        <v>42004</v>
      </c>
      <c r="J31" s="13">
        <v>42369</v>
      </c>
      <c r="K31" s="13">
        <v>42735</v>
      </c>
      <c r="L31" s="14">
        <f>L22</f>
        <v>43100</v>
      </c>
      <c r="M31" s="13">
        <f>M22</f>
        <v>43465</v>
      </c>
      <c r="N31" s="14">
        <f>N22</f>
        <v>43830</v>
      </c>
    </row>
    <row r="32" spans="1:14" x14ac:dyDescent="0.25">
      <c r="A32" s="17" t="s">
        <v>74</v>
      </c>
      <c r="B32" s="3">
        <v>6830</v>
      </c>
      <c r="C32" s="3">
        <v>12291</v>
      </c>
      <c r="D32" s="3">
        <v>12907</v>
      </c>
      <c r="E32" s="3">
        <v>13104</v>
      </c>
      <c r="F32" s="3">
        <v>22176</v>
      </c>
      <c r="G32" s="59">
        <f>59112-G33</f>
        <v>35223</v>
      </c>
      <c r="H32" s="59">
        <f>59243-H33</f>
        <v>35513</v>
      </c>
      <c r="I32" s="59">
        <f>59935-I33</f>
        <v>36358</v>
      </c>
      <c r="J32" s="59">
        <f>61174-J33</f>
        <v>37528</v>
      </c>
      <c r="K32" s="59">
        <f>62599-K33</f>
        <v>39040</v>
      </c>
      <c r="L32" s="26">
        <f>63419-L33</f>
        <v>39977</v>
      </c>
      <c r="M32" s="59">
        <f>64613-M33</f>
        <v>41296</v>
      </c>
      <c r="N32" s="26">
        <f>66214-N33</f>
        <v>42967</v>
      </c>
    </row>
    <row r="33" spans="1:14" x14ac:dyDescent="0.25">
      <c r="A33" s="15" t="s">
        <v>5</v>
      </c>
      <c r="B33" s="54">
        <v>201</v>
      </c>
      <c r="C33" s="54">
        <v>2771</v>
      </c>
      <c r="D33" s="54">
        <v>2929</v>
      </c>
      <c r="E33" s="54">
        <v>3410</v>
      </c>
      <c r="F33" s="54">
        <v>4334</v>
      </c>
      <c r="G33" s="59">
        <v>23889</v>
      </c>
      <c r="H33" s="59">
        <v>23730</v>
      </c>
      <c r="I33" s="59">
        <v>23577</v>
      </c>
      <c r="J33" s="59">
        <v>23646</v>
      </c>
      <c r="K33" s="59">
        <v>23559</v>
      </c>
      <c r="L33" s="26">
        <v>23442</v>
      </c>
      <c r="M33" s="59">
        <v>23317</v>
      </c>
      <c r="N33" s="26">
        <v>23247</v>
      </c>
    </row>
    <row r="34" spans="1:14" x14ac:dyDescent="0.25">
      <c r="A34" s="15" t="s">
        <v>75</v>
      </c>
      <c r="B34" s="3">
        <v>19338</v>
      </c>
      <c r="C34" s="3">
        <v>23121</v>
      </c>
      <c r="D34" s="3">
        <v>24444</v>
      </c>
      <c r="E34" s="3">
        <v>25847</v>
      </c>
      <c r="F34" s="3">
        <v>31876</v>
      </c>
      <c r="G34" s="59">
        <v>39424</v>
      </c>
      <c r="H34" s="59">
        <v>42389</v>
      </c>
      <c r="I34" s="59">
        <v>46169</v>
      </c>
      <c r="J34" s="59">
        <v>50171</v>
      </c>
      <c r="K34" s="59">
        <v>54033</v>
      </c>
      <c r="L34" s="26">
        <v>55243</v>
      </c>
      <c r="M34" s="59">
        <v>57630</v>
      </c>
      <c r="N34" s="26">
        <v>66152</v>
      </c>
    </row>
    <row r="35" spans="1:14" x14ac:dyDescent="0.25">
      <c r="A35" s="15" t="s">
        <v>72</v>
      </c>
      <c r="B35" s="54">
        <v>47564</v>
      </c>
      <c r="C35" s="54">
        <v>53000</v>
      </c>
      <c r="D35" s="54">
        <v>59038</v>
      </c>
      <c r="E35" s="54">
        <v>70257</v>
      </c>
      <c r="F35" s="54">
        <v>87746</v>
      </c>
      <c r="G35" s="59">
        <v>90085</v>
      </c>
      <c r="H35" s="59">
        <f>22259+51198</f>
        <v>73457</v>
      </c>
      <c r="I35" s="59">
        <f>27585+57877</f>
        <v>85462</v>
      </c>
      <c r="J35" s="59">
        <f>33173+63185</f>
        <v>96358</v>
      </c>
      <c r="K35" s="59">
        <f>38493+68402</f>
        <v>106895</v>
      </c>
      <c r="L35" s="26">
        <f>39254+73249</f>
        <v>112503</v>
      </c>
      <c r="M35" s="59">
        <f>43545+78692</f>
        <v>122237</v>
      </c>
      <c r="N35" s="26">
        <f>48938+86973</f>
        <v>135911</v>
      </c>
    </row>
    <row r="36" spans="1:14" x14ac:dyDescent="0.25">
      <c r="A36" s="15" t="s">
        <v>76</v>
      </c>
      <c r="B36" s="3">
        <v>14031</v>
      </c>
      <c r="C36" s="3">
        <v>17816</v>
      </c>
      <c r="D36" s="3">
        <v>14124</v>
      </c>
      <c r="E36" s="3">
        <v>17631</v>
      </c>
      <c r="F36" s="3">
        <v>27551</v>
      </c>
      <c r="G36" s="59">
        <v>28674</v>
      </c>
      <c r="H36" s="59">
        <v>28653</v>
      </c>
      <c r="I36" s="59">
        <v>31466</v>
      </c>
      <c r="J36" s="59">
        <v>35048</v>
      </c>
      <c r="K36" s="59">
        <v>38978</v>
      </c>
      <c r="L36" s="26">
        <v>40415</v>
      </c>
      <c r="M36" s="59">
        <v>45745</v>
      </c>
      <c r="N36" s="26">
        <v>46742</v>
      </c>
    </row>
    <row r="37" spans="1:14" x14ac:dyDescent="0.25">
      <c r="A37" s="15" t="s">
        <v>77</v>
      </c>
      <c r="B37" s="3">
        <v>5691</v>
      </c>
      <c r="C37" s="3">
        <v>5969</v>
      </c>
      <c r="D37" s="3">
        <v>5692</v>
      </c>
      <c r="E37" s="3">
        <v>6883</v>
      </c>
      <c r="F37" s="3">
        <v>10479</v>
      </c>
      <c r="G37" s="59">
        <v>10099</v>
      </c>
      <c r="H37" s="59">
        <v>11133</v>
      </c>
      <c r="I37" s="59">
        <v>11472</v>
      </c>
      <c r="J37" s="59">
        <v>11132</v>
      </c>
      <c r="K37" s="59">
        <v>12187</v>
      </c>
      <c r="L37" s="26">
        <v>13357</v>
      </c>
      <c r="M37" s="59">
        <v>17888</v>
      </c>
      <c r="N37" s="26">
        <v>17941</v>
      </c>
    </row>
    <row r="38" spans="1:14" x14ac:dyDescent="0.25">
      <c r="A38" s="15" t="s">
        <v>78</v>
      </c>
      <c r="B38" s="3">
        <v>3109</v>
      </c>
      <c r="C38" s="3">
        <v>3344</v>
      </c>
      <c r="D38" s="3">
        <v>3013</v>
      </c>
      <c r="E38" s="3">
        <v>4248</v>
      </c>
      <c r="F38" s="3">
        <v>6333</v>
      </c>
      <c r="G38" s="59">
        <v>7836</v>
      </c>
      <c r="H38" s="59">
        <v>5622</v>
      </c>
      <c r="I38" s="59">
        <v>5878</v>
      </c>
      <c r="J38" s="59">
        <v>8026</v>
      </c>
      <c r="K38" s="59">
        <v>9756</v>
      </c>
      <c r="L38" s="26">
        <v>9810</v>
      </c>
      <c r="M38" s="59">
        <v>10131</v>
      </c>
      <c r="N38" s="26">
        <v>13106</v>
      </c>
    </row>
    <row r="39" spans="1:14" x14ac:dyDescent="0.25">
      <c r="A39" s="15" t="s">
        <v>79</v>
      </c>
      <c r="B39" s="59">
        <f t="shared" ref="B39:I39" si="45">B41-B40-SUM(B32:B38)</f>
        <v>38481</v>
      </c>
      <c r="C39" s="59">
        <f t="shared" si="45"/>
        <v>40203</v>
      </c>
      <c r="D39" s="59">
        <f t="shared" si="45"/>
        <v>34492</v>
      </c>
      <c r="E39" s="59">
        <f t="shared" si="45"/>
        <v>39343</v>
      </c>
      <c r="F39" s="59">
        <f t="shared" si="45"/>
        <v>44983</v>
      </c>
      <c r="G39" s="59">
        <f t="shared" si="45"/>
        <v>55800</v>
      </c>
      <c r="H39" s="59">
        <f t="shared" si="45"/>
        <v>80658</v>
      </c>
      <c r="I39" s="59">
        <f t="shared" si="45"/>
        <v>91704</v>
      </c>
      <c r="J39" s="59">
        <f t="shared" ref="J39" si="46">J41-J40-SUM(J32:J38)</f>
        <v>99155</v>
      </c>
      <c r="K39" s="59">
        <f t="shared" ref="K39" si="47">K41-K40-SUM(K32:K38)</f>
        <v>106019</v>
      </c>
      <c r="L39" s="26">
        <f t="shared" ref="L39" si="48">L41-L40-SUM(L32:L38)</f>
        <v>108989</v>
      </c>
      <c r="M39" s="59">
        <f t="shared" ref="M39" si="49">M41-M40-SUM(M32:M38)</f>
        <v>110974</v>
      </c>
      <c r="N39" s="26">
        <f t="shared" ref="N39" si="50">N41-N40-SUM(N32:N38)</f>
        <v>116082</v>
      </c>
    </row>
    <row r="40" spans="1:14" x14ac:dyDescent="0.25">
      <c r="A40" s="15" t="s">
        <v>71</v>
      </c>
      <c r="B40" s="59">
        <f t="shared" ref="B40:J40" si="51">B28</f>
        <v>10112</v>
      </c>
      <c r="C40" s="59">
        <f t="shared" si="51"/>
        <v>9474</v>
      </c>
      <c r="D40" s="59">
        <f t="shared" si="51"/>
        <v>20539</v>
      </c>
      <c r="E40" s="59">
        <f t="shared" si="51"/>
        <v>18670</v>
      </c>
      <c r="F40" s="59">
        <f t="shared" si="51"/>
        <v>18291</v>
      </c>
      <c r="G40" s="4">
        <f t="shared" si="51"/>
        <v>18488</v>
      </c>
      <c r="H40" s="4">
        <f t="shared" si="51"/>
        <v>23178</v>
      </c>
      <c r="I40" s="4">
        <f t="shared" si="51"/>
        <v>19123</v>
      </c>
      <c r="J40" s="4">
        <f t="shared" si="51"/>
        <v>20871</v>
      </c>
      <c r="K40" s="4">
        <f t="shared" ref="K40" si="52">K28</f>
        <v>19265</v>
      </c>
      <c r="L40" s="27">
        <f t="shared" ref="L40" si="53">L28</f>
        <v>18457</v>
      </c>
      <c r="M40" s="4">
        <f t="shared" ref="M40" si="54">M28</f>
        <v>28938</v>
      </c>
      <c r="N40" s="27">
        <f t="shared" ref="N40" si="55">N28</f>
        <v>25923</v>
      </c>
    </row>
    <row r="41" spans="1:14" x14ac:dyDescent="0.25">
      <c r="A41" s="18" t="s">
        <v>80</v>
      </c>
      <c r="B41" s="10">
        <f t="shared" ref="B41:J41" si="56">B23</f>
        <v>145357</v>
      </c>
      <c r="C41" s="10">
        <f t="shared" si="56"/>
        <v>167989</v>
      </c>
      <c r="D41" s="10">
        <f t="shared" si="56"/>
        <v>177178</v>
      </c>
      <c r="E41" s="10">
        <f t="shared" si="56"/>
        <v>199393</v>
      </c>
      <c r="F41" s="10">
        <f t="shared" si="56"/>
        <v>253769</v>
      </c>
      <c r="G41" s="10">
        <f t="shared" si="56"/>
        <v>309518</v>
      </c>
      <c r="H41" s="10">
        <f t="shared" si="56"/>
        <v>324333</v>
      </c>
      <c r="I41" s="10">
        <f t="shared" si="56"/>
        <v>351209</v>
      </c>
      <c r="J41" s="10">
        <f t="shared" si="56"/>
        <v>381935</v>
      </c>
      <c r="K41" s="10">
        <f t="shared" ref="K41" si="57">K23</f>
        <v>409732</v>
      </c>
      <c r="L41" s="28">
        <f t="shared" ref="L41" si="58">L23</f>
        <v>422193</v>
      </c>
      <c r="M41" s="10">
        <f t="shared" ref="M41" si="59">M23</f>
        <v>458156</v>
      </c>
      <c r="N41" s="28">
        <f t="shared" ref="N41" si="60">N23</f>
        <v>488071</v>
      </c>
    </row>
    <row r="42" spans="1:14" s="1" customFormat="1" x14ac:dyDescent="0.25">
      <c r="A42" s="19" t="s">
        <v>81</v>
      </c>
      <c r="B42" s="5">
        <f>2275+8276+1828+9282</f>
        <v>21661</v>
      </c>
      <c r="C42" s="3">
        <f>3555+9073+1160+8473</f>
        <v>22261</v>
      </c>
      <c r="D42" s="3">
        <f>3946+10088+973+9420</f>
        <v>24427</v>
      </c>
      <c r="E42" s="3">
        <f>3610+11170+2077+11513</f>
        <v>28370</v>
      </c>
      <c r="F42" s="3">
        <f>3721+13235+2888+16005</f>
        <v>35849</v>
      </c>
      <c r="G42" s="59">
        <f>4239+14373+1721+16689</f>
        <v>37022</v>
      </c>
      <c r="H42" s="59">
        <v>33334</v>
      </c>
      <c r="I42" s="59">
        <v>38991</v>
      </c>
      <c r="J42" s="59">
        <v>56199</v>
      </c>
      <c r="K42" s="59">
        <f>3556+21482+1301+35711</f>
        <v>62050</v>
      </c>
      <c r="L42" s="26">
        <f>3030+20839+1397+25347</f>
        <v>50613</v>
      </c>
      <c r="M42" s="59">
        <f>3047+20879+1412+23874</f>
        <v>49212</v>
      </c>
      <c r="N42" s="26">
        <f>2991+21783+1876+24434</f>
        <v>51084</v>
      </c>
    </row>
    <row r="43" spans="1:14" s="9" customFormat="1" x14ac:dyDescent="0.25">
      <c r="A43" s="19" t="s">
        <v>82</v>
      </c>
      <c r="B43" s="5">
        <v>9099</v>
      </c>
      <c r="C43" s="3">
        <v>9676</v>
      </c>
      <c r="D43" s="3">
        <v>10225</v>
      </c>
      <c r="E43" s="3">
        <v>12544</v>
      </c>
      <c r="F43" s="3">
        <v>16325</v>
      </c>
      <c r="G43" s="59">
        <v>17268</v>
      </c>
      <c r="H43" s="59">
        <v>18024</v>
      </c>
      <c r="I43" s="59">
        <v>19530</v>
      </c>
      <c r="J43" s="59">
        <v>20460</v>
      </c>
      <c r="K43" s="59">
        <v>22794</v>
      </c>
      <c r="L43" s="26">
        <v>23046</v>
      </c>
      <c r="M43" s="59">
        <v>23607</v>
      </c>
      <c r="N43" s="26">
        <v>22745</v>
      </c>
    </row>
    <row r="44" spans="1:14" s="9" customFormat="1" x14ac:dyDescent="0.25">
      <c r="A44" s="19" t="s">
        <v>83</v>
      </c>
      <c r="B44" s="5">
        <v>2637</v>
      </c>
      <c r="C44" s="3">
        <v>3654</v>
      </c>
      <c r="D44" s="3">
        <v>2224</v>
      </c>
      <c r="E44" s="3">
        <v>1669</v>
      </c>
      <c r="F44" s="3">
        <v>4055</v>
      </c>
      <c r="G44" s="59">
        <v>9050</v>
      </c>
      <c r="H44" s="59">
        <v>7894</v>
      </c>
      <c r="I44" s="59">
        <v>4774</v>
      </c>
      <c r="J44" s="59">
        <v>4433</v>
      </c>
      <c r="K44" s="59">
        <v>4745</v>
      </c>
      <c r="L44" s="26">
        <v>5636</v>
      </c>
      <c r="M44" s="59">
        <v>5030</v>
      </c>
      <c r="N44" s="26">
        <v>5007</v>
      </c>
    </row>
    <row r="45" spans="1:14" x14ac:dyDescent="0.25">
      <c r="A45" s="19" t="s">
        <v>84</v>
      </c>
      <c r="B45" s="5">
        <f t="shared" ref="B45:I45" si="61">B41-SUM(B42:B44)-SUM(B24:B26)</f>
        <v>9427</v>
      </c>
      <c r="C45" s="5">
        <f t="shared" si="61"/>
        <v>12675</v>
      </c>
      <c r="D45" s="5">
        <f t="shared" si="61"/>
        <v>11337</v>
      </c>
      <c r="E45" s="5">
        <f t="shared" si="61"/>
        <v>15655</v>
      </c>
      <c r="F45" s="5">
        <f t="shared" si="61"/>
        <v>23867</v>
      </c>
      <c r="G45" s="5">
        <f t="shared" si="61"/>
        <v>22581</v>
      </c>
      <c r="H45" s="5">
        <f t="shared" si="61"/>
        <v>31766</v>
      </c>
      <c r="I45" s="5">
        <f t="shared" si="61"/>
        <v>33939</v>
      </c>
      <c r="J45" s="5">
        <f t="shared" ref="J45" si="62">J41-SUM(J42:J44)-SUM(J24:J26)</f>
        <v>39433</v>
      </c>
      <c r="K45" s="5">
        <f t="shared" ref="K45" si="63">K41-SUM(K42:K44)-SUM(K24:K26)</f>
        <v>40122</v>
      </c>
      <c r="L45" s="76">
        <f t="shared" ref="L45" si="64">L41-SUM(L42:L44)-SUM(L24:L26)</f>
        <v>37619</v>
      </c>
      <c r="M45" s="5">
        <f t="shared" ref="M45" si="65">M41-SUM(M42:M44)-SUM(M24:M26)</f>
        <v>38985</v>
      </c>
      <c r="N45" s="76">
        <f t="shared" ref="N45" si="66">N41-SUM(N42:N44)-SUM(N24:N26)</f>
        <v>42727</v>
      </c>
    </row>
    <row r="46" spans="1:14" x14ac:dyDescent="0.25">
      <c r="A46" s="18" t="s">
        <v>70</v>
      </c>
      <c r="B46" s="10">
        <f>B41-SUM(B42:B45)</f>
        <v>102533</v>
      </c>
      <c r="C46" s="10">
        <f t="shared" ref="C46:J46" si="67">C41-SUM(C42:C45)</f>
        <v>119723</v>
      </c>
      <c r="D46" s="10">
        <f t="shared" si="67"/>
        <v>128965</v>
      </c>
      <c r="E46" s="10">
        <f t="shared" si="67"/>
        <v>141155</v>
      </c>
      <c r="F46" s="10">
        <f t="shared" si="67"/>
        <v>173673</v>
      </c>
      <c r="G46" s="10">
        <f t="shared" si="67"/>
        <v>223597</v>
      </c>
      <c r="H46" s="10">
        <f t="shared" si="67"/>
        <v>233315</v>
      </c>
      <c r="I46" s="10">
        <f t="shared" si="67"/>
        <v>253975</v>
      </c>
      <c r="J46" s="10">
        <f t="shared" si="67"/>
        <v>261410</v>
      </c>
      <c r="K46" s="10">
        <f t="shared" ref="K46" si="68">K41-SUM(K42:K45)</f>
        <v>280021</v>
      </c>
      <c r="L46" s="28">
        <f t="shared" ref="L46" si="69">L41-SUM(L42:L45)</f>
        <v>305279</v>
      </c>
      <c r="M46" s="10">
        <f t="shared" ref="M46" si="70">M41-SUM(M42:M45)</f>
        <v>341322</v>
      </c>
      <c r="N46" s="28">
        <f t="shared" ref="N46" si="71">N41-SUM(N42:N45)</f>
        <v>366508</v>
      </c>
    </row>
    <row r="47" spans="1:14" x14ac:dyDescent="0.25">
      <c r="A47" s="18" t="s">
        <v>73</v>
      </c>
      <c r="B47" s="10">
        <f>SUM(B32:B39)-SUM(B42:B45)-B35</f>
        <v>44857</v>
      </c>
      <c r="C47" s="10">
        <f t="shared" ref="C47:I47" si="72">SUM(C32:C39)-SUM(C42:C45)-C35</f>
        <v>57249</v>
      </c>
      <c r="D47" s="10">
        <f t="shared" si="72"/>
        <v>49388</v>
      </c>
      <c r="E47" s="10">
        <f t="shared" si="72"/>
        <v>52228</v>
      </c>
      <c r="F47" s="10">
        <f t="shared" si="72"/>
        <v>67636</v>
      </c>
      <c r="G47" s="10">
        <f t="shared" si="72"/>
        <v>115024</v>
      </c>
      <c r="H47" s="10">
        <f t="shared" si="72"/>
        <v>136680</v>
      </c>
      <c r="I47" s="10">
        <f t="shared" si="72"/>
        <v>149390</v>
      </c>
      <c r="J47" s="10">
        <f t="shared" ref="J47" si="73">SUM(J32:J39)-SUM(J42:J45)-J35</f>
        <v>144181</v>
      </c>
      <c r="K47" s="10">
        <f t="shared" ref="K47" si="74">SUM(K32:K39)-SUM(K42:K45)-K35</f>
        <v>153861</v>
      </c>
      <c r="L47" s="28">
        <f t="shared" ref="L47" si="75">SUM(L32:L39)-SUM(L42:L45)-L35</f>
        <v>174319</v>
      </c>
      <c r="M47" s="10">
        <f t="shared" ref="M47" si="76">SUM(M32:M39)-SUM(M42:M45)-M35</f>
        <v>190147</v>
      </c>
      <c r="N47" s="28">
        <f t="shared" ref="N47" si="77">SUM(N32:N39)-SUM(N42:N45)-N35</f>
        <v>204674</v>
      </c>
    </row>
    <row r="48" spans="1:14" s="1" customFormat="1" x14ac:dyDescent="0.25">
      <c r="A48" s="7" t="s">
        <v>85</v>
      </c>
      <c r="B48" s="8">
        <f t="shared" ref="B48:J48" si="78">B30-B47</f>
        <v>0</v>
      </c>
      <c r="C48" s="8">
        <f t="shared" si="78"/>
        <v>0</v>
      </c>
      <c r="D48" s="8">
        <f t="shared" si="78"/>
        <v>0</v>
      </c>
      <c r="E48" s="8">
        <f t="shared" si="78"/>
        <v>0</v>
      </c>
      <c r="F48" s="8">
        <f t="shared" si="78"/>
        <v>0</v>
      </c>
      <c r="G48" s="80">
        <f t="shared" si="78"/>
        <v>0</v>
      </c>
      <c r="H48" s="89">
        <f t="shared" si="78"/>
        <v>0</v>
      </c>
      <c r="I48" s="89">
        <f t="shared" si="78"/>
        <v>0</v>
      </c>
      <c r="J48" s="89">
        <f t="shared" si="78"/>
        <v>0</v>
      </c>
      <c r="K48" s="89">
        <f t="shared" ref="K48" si="79">K30-K47</f>
        <v>0</v>
      </c>
      <c r="L48" s="89">
        <f t="shared" ref="L48" si="80">L30-L47</f>
        <v>0</v>
      </c>
      <c r="M48" s="89">
        <f t="shared" ref="M48" si="81">M30-M47</f>
        <v>0</v>
      </c>
      <c r="N48" s="89">
        <f t="shared" ref="N48" si="82">N30-N47</f>
        <v>0</v>
      </c>
    </row>
    <row r="49" spans="1:14" x14ac:dyDescent="0.25">
      <c r="A49" s="7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x14ac:dyDescent="0.25">
      <c r="A50" s="171"/>
      <c r="B50" s="81">
        <f t="shared" ref="B50:N50" si="83">B31</f>
        <v>39447</v>
      </c>
      <c r="C50" s="81">
        <f t="shared" si="83"/>
        <v>39813</v>
      </c>
      <c r="D50" s="81">
        <f t="shared" si="83"/>
        <v>40178</v>
      </c>
      <c r="E50" s="81">
        <f t="shared" si="83"/>
        <v>40543</v>
      </c>
      <c r="F50" s="81">
        <f t="shared" si="83"/>
        <v>40908</v>
      </c>
      <c r="G50" s="93">
        <f t="shared" si="83"/>
        <v>41274</v>
      </c>
      <c r="H50" s="81">
        <f t="shared" si="83"/>
        <v>41639</v>
      </c>
      <c r="I50" s="81">
        <f t="shared" si="83"/>
        <v>42004</v>
      </c>
      <c r="J50" s="93">
        <f t="shared" si="83"/>
        <v>42369</v>
      </c>
      <c r="K50" s="93">
        <f t="shared" si="83"/>
        <v>42735</v>
      </c>
      <c r="L50" s="81">
        <f t="shared" si="83"/>
        <v>43100</v>
      </c>
      <c r="M50" s="93">
        <f t="shared" si="83"/>
        <v>43465</v>
      </c>
      <c r="N50" s="81">
        <f t="shared" si="83"/>
        <v>43830</v>
      </c>
    </row>
    <row r="51" spans="1:14" x14ac:dyDescent="0.25">
      <c r="A51" s="85" t="s">
        <v>86</v>
      </c>
      <c r="B51" s="55">
        <f t="shared" ref="B51:N51" si="84">SUM(B32:B35)</f>
        <v>73933</v>
      </c>
      <c r="C51" s="56">
        <f t="shared" si="84"/>
        <v>91183</v>
      </c>
      <c r="D51" s="56">
        <f t="shared" si="84"/>
        <v>99318</v>
      </c>
      <c r="E51" s="56">
        <f t="shared" si="84"/>
        <v>112618</v>
      </c>
      <c r="F51" s="56">
        <f t="shared" si="84"/>
        <v>146132</v>
      </c>
      <c r="G51" s="56">
        <f t="shared" si="84"/>
        <v>188621</v>
      </c>
      <c r="H51" s="56">
        <f t="shared" si="84"/>
        <v>175089</v>
      </c>
      <c r="I51" s="56">
        <f t="shared" si="84"/>
        <v>191566</v>
      </c>
      <c r="J51" s="56">
        <f t="shared" si="84"/>
        <v>207703</v>
      </c>
      <c r="K51" s="56">
        <f t="shared" si="84"/>
        <v>223527</v>
      </c>
      <c r="L51" s="57">
        <f t="shared" si="84"/>
        <v>231165</v>
      </c>
      <c r="M51" s="56">
        <f t="shared" si="84"/>
        <v>244480</v>
      </c>
      <c r="N51" s="57">
        <f t="shared" si="84"/>
        <v>268277</v>
      </c>
    </row>
    <row r="52" spans="1:14" x14ac:dyDescent="0.25">
      <c r="A52" s="86" t="s">
        <v>87</v>
      </c>
      <c r="B52" s="58">
        <f t="shared" ref="B52:N52" si="85">B36+B37-B43</f>
        <v>10623</v>
      </c>
      <c r="C52" s="59">
        <f t="shared" si="85"/>
        <v>14109</v>
      </c>
      <c r="D52" s="59">
        <f t="shared" si="85"/>
        <v>9591</v>
      </c>
      <c r="E52" s="59">
        <f t="shared" si="85"/>
        <v>11970</v>
      </c>
      <c r="F52" s="59">
        <f t="shared" si="85"/>
        <v>21705</v>
      </c>
      <c r="G52" s="59">
        <f t="shared" si="85"/>
        <v>21505</v>
      </c>
      <c r="H52" s="59">
        <f t="shared" si="85"/>
        <v>21762</v>
      </c>
      <c r="I52" s="59">
        <f t="shared" si="85"/>
        <v>23408</v>
      </c>
      <c r="J52" s="59">
        <f t="shared" si="85"/>
        <v>25720</v>
      </c>
      <c r="K52" s="59">
        <f t="shared" si="85"/>
        <v>28371</v>
      </c>
      <c r="L52" s="26">
        <f t="shared" si="85"/>
        <v>30726</v>
      </c>
      <c r="M52" s="59">
        <f t="shared" si="85"/>
        <v>40026</v>
      </c>
      <c r="N52" s="26">
        <f t="shared" si="85"/>
        <v>41938</v>
      </c>
    </row>
    <row r="53" spans="1:14" x14ac:dyDescent="0.25">
      <c r="A53" s="86" t="s">
        <v>88</v>
      </c>
      <c r="B53" s="58">
        <f>B55-B51-B52-B54</f>
        <v>7865</v>
      </c>
      <c r="C53" s="59">
        <f t="shared" ref="C53:J53" si="86">C55-C51-C52-C54</f>
        <v>4957</v>
      </c>
      <c r="D53" s="59">
        <f t="shared" si="86"/>
        <v>-483</v>
      </c>
      <c r="E53" s="59">
        <f t="shared" si="86"/>
        <v>-2103</v>
      </c>
      <c r="F53" s="59">
        <f t="shared" si="86"/>
        <v>-12455</v>
      </c>
      <c r="G53" s="59">
        <f t="shared" si="86"/>
        <v>-5017</v>
      </c>
      <c r="H53" s="59">
        <f t="shared" si="86"/>
        <v>13286</v>
      </c>
      <c r="I53" s="59">
        <f t="shared" si="86"/>
        <v>19878</v>
      </c>
      <c r="J53" s="59">
        <f t="shared" si="86"/>
        <v>7116</v>
      </c>
      <c r="K53" s="59">
        <f t="shared" ref="K53" si="87">K55-K51-K52-K54</f>
        <v>8858</v>
      </c>
      <c r="L53" s="26">
        <f t="shared" ref="L53" si="88">L55-L51-L52-L54</f>
        <v>24931</v>
      </c>
      <c r="M53" s="59">
        <f t="shared" ref="M53" si="89">M55-M51-M52-M54</f>
        <v>27878</v>
      </c>
      <c r="N53" s="26">
        <f t="shared" ref="N53" si="90">N55-N51-N52-N54</f>
        <v>30370</v>
      </c>
    </row>
    <row r="54" spans="1:14" x14ac:dyDescent="0.25">
      <c r="A54" s="86" t="s">
        <v>71</v>
      </c>
      <c r="B54" s="58">
        <f t="shared" ref="B54:N54" si="91">B28</f>
        <v>10112</v>
      </c>
      <c r="C54" s="59">
        <f t="shared" si="91"/>
        <v>9474</v>
      </c>
      <c r="D54" s="59">
        <f t="shared" si="91"/>
        <v>20539</v>
      </c>
      <c r="E54" s="59">
        <f t="shared" si="91"/>
        <v>18670</v>
      </c>
      <c r="F54" s="59">
        <f t="shared" si="91"/>
        <v>18291</v>
      </c>
      <c r="G54" s="59">
        <f t="shared" si="91"/>
        <v>18488</v>
      </c>
      <c r="H54" s="59">
        <f t="shared" si="91"/>
        <v>23178</v>
      </c>
      <c r="I54" s="59">
        <f t="shared" si="91"/>
        <v>19123</v>
      </c>
      <c r="J54" s="59">
        <f t="shared" si="91"/>
        <v>20871</v>
      </c>
      <c r="K54" s="59">
        <f t="shared" si="91"/>
        <v>19265</v>
      </c>
      <c r="L54" s="26">
        <f t="shared" si="91"/>
        <v>18457</v>
      </c>
      <c r="M54" s="59">
        <f t="shared" si="91"/>
        <v>28938</v>
      </c>
      <c r="N54" s="26">
        <f t="shared" si="91"/>
        <v>25923</v>
      </c>
    </row>
    <row r="55" spans="1:14" x14ac:dyDescent="0.25">
      <c r="A55" s="18" t="s">
        <v>89</v>
      </c>
      <c r="B55" s="87">
        <f t="shared" ref="B55:N55" si="92">B27</f>
        <v>102533</v>
      </c>
      <c r="C55" s="10">
        <f t="shared" si="92"/>
        <v>119723</v>
      </c>
      <c r="D55" s="10">
        <f t="shared" si="92"/>
        <v>128965</v>
      </c>
      <c r="E55" s="10">
        <f t="shared" si="92"/>
        <v>141155</v>
      </c>
      <c r="F55" s="10">
        <f t="shared" si="92"/>
        <v>173673</v>
      </c>
      <c r="G55" s="10">
        <f t="shared" si="92"/>
        <v>223597</v>
      </c>
      <c r="H55" s="10">
        <f t="shared" si="92"/>
        <v>233315</v>
      </c>
      <c r="I55" s="10">
        <f t="shared" si="92"/>
        <v>253975</v>
      </c>
      <c r="J55" s="10">
        <f t="shared" si="92"/>
        <v>261410</v>
      </c>
      <c r="K55" s="10">
        <f t="shared" si="92"/>
        <v>280021</v>
      </c>
      <c r="L55" s="28">
        <f t="shared" si="92"/>
        <v>305279</v>
      </c>
      <c r="M55" s="10">
        <f t="shared" si="92"/>
        <v>341322</v>
      </c>
      <c r="N55" s="28">
        <f t="shared" si="92"/>
        <v>366508</v>
      </c>
    </row>
    <row r="56" spans="1:14" x14ac:dyDescent="0.25">
      <c r="A56" s="86" t="s">
        <v>67</v>
      </c>
      <c r="B56" s="58">
        <f t="shared" ref="B56:N56" si="93">B24</f>
        <v>31938</v>
      </c>
      <c r="C56" s="59">
        <f t="shared" si="93"/>
        <v>37388</v>
      </c>
      <c r="D56" s="59">
        <f t="shared" si="93"/>
        <v>37430</v>
      </c>
      <c r="E56" s="59">
        <f t="shared" si="93"/>
        <v>48712</v>
      </c>
      <c r="F56" s="59">
        <f t="shared" si="93"/>
        <v>63354</v>
      </c>
      <c r="G56" s="59">
        <f t="shared" si="93"/>
        <v>81995</v>
      </c>
      <c r="H56" s="59">
        <f t="shared" si="93"/>
        <v>90037</v>
      </c>
      <c r="I56" s="59">
        <f t="shared" si="93"/>
        <v>90189</v>
      </c>
      <c r="J56" s="59">
        <f t="shared" si="93"/>
        <v>88270</v>
      </c>
      <c r="K56" s="59">
        <f t="shared" si="93"/>
        <v>92190</v>
      </c>
      <c r="L56" s="26">
        <f t="shared" si="93"/>
        <v>109077</v>
      </c>
      <c r="M56" s="59">
        <f t="shared" si="93"/>
        <v>117342</v>
      </c>
      <c r="N56" s="26">
        <f t="shared" si="93"/>
        <v>123651</v>
      </c>
    </row>
    <row r="57" spans="1:14" x14ac:dyDescent="0.25">
      <c r="A57" s="86" t="s">
        <v>68</v>
      </c>
      <c r="B57" s="58">
        <f t="shared" ref="B57:N57" si="94">B25</f>
        <v>57992</v>
      </c>
      <c r="C57" s="59">
        <f t="shared" si="94"/>
        <v>69380</v>
      </c>
      <c r="D57" s="59">
        <f t="shared" si="94"/>
        <v>77599</v>
      </c>
      <c r="E57" s="59">
        <f t="shared" si="94"/>
        <v>77011</v>
      </c>
      <c r="F57" s="59">
        <f t="shared" si="94"/>
        <v>93532</v>
      </c>
      <c r="G57" s="59">
        <f t="shared" si="94"/>
        <v>117663</v>
      </c>
      <c r="H57" s="59">
        <f t="shared" si="94"/>
        <v>121504</v>
      </c>
      <c r="I57" s="59">
        <f t="shared" si="94"/>
        <v>133980</v>
      </c>
      <c r="J57" s="59">
        <f t="shared" si="94"/>
        <v>145605</v>
      </c>
      <c r="K57" s="59">
        <f t="shared" si="94"/>
        <v>154819</v>
      </c>
      <c r="L57" s="26">
        <f t="shared" si="94"/>
        <v>163472</v>
      </c>
      <c r="M57" s="59">
        <f t="shared" si="94"/>
        <v>190883</v>
      </c>
      <c r="N57" s="26">
        <f t="shared" si="94"/>
        <v>201468</v>
      </c>
    </row>
    <row r="58" spans="1:14" x14ac:dyDescent="0.25">
      <c r="A58" s="86" t="s">
        <v>69</v>
      </c>
      <c r="B58" s="58">
        <f t="shared" ref="B58:N58" si="95">B26</f>
        <v>12603</v>
      </c>
      <c r="C58" s="59">
        <f t="shared" si="95"/>
        <v>12955</v>
      </c>
      <c r="D58" s="59">
        <f t="shared" si="95"/>
        <v>13936</v>
      </c>
      <c r="E58" s="59">
        <f t="shared" si="95"/>
        <v>15432</v>
      </c>
      <c r="F58" s="59">
        <f t="shared" si="95"/>
        <v>16787</v>
      </c>
      <c r="G58" s="59">
        <f t="shared" si="95"/>
        <v>23939</v>
      </c>
      <c r="H58" s="59">
        <f t="shared" si="95"/>
        <v>21774</v>
      </c>
      <c r="I58" s="59">
        <f t="shared" si="95"/>
        <v>29806</v>
      </c>
      <c r="J58" s="59">
        <f t="shared" si="95"/>
        <v>27535</v>
      </c>
      <c r="K58" s="59">
        <f t="shared" si="95"/>
        <v>33012</v>
      </c>
      <c r="L58" s="26">
        <f t="shared" si="95"/>
        <v>32730</v>
      </c>
      <c r="M58" s="59">
        <f t="shared" si="95"/>
        <v>33097</v>
      </c>
      <c r="N58" s="26">
        <f t="shared" si="95"/>
        <v>41389</v>
      </c>
    </row>
    <row r="59" spans="1:14" x14ac:dyDescent="0.25">
      <c r="A59" s="18" t="s">
        <v>89</v>
      </c>
      <c r="B59" s="87">
        <f>SUM(B56:B58)</f>
        <v>102533</v>
      </c>
      <c r="C59" s="10">
        <f t="shared" ref="C59:J59" si="96">SUM(C56:C58)</f>
        <v>119723</v>
      </c>
      <c r="D59" s="10">
        <f t="shared" si="96"/>
        <v>128965</v>
      </c>
      <c r="E59" s="10">
        <f t="shared" si="96"/>
        <v>141155</v>
      </c>
      <c r="F59" s="10">
        <f t="shared" si="96"/>
        <v>173673</v>
      </c>
      <c r="G59" s="10">
        <f t="shared" si="96"/>
        <v>223597</v>
      </c>
      <c r="H59" s="10">
        <f t="shared" si="96"/>
        <v>233315</v>
      </c>
      <c r="I59" s="10">
        <f t="shared" si="96"/>
        <v>253975</v>
      </c>
      <c r="J59" s="10">
        <f t="shared" si="96"/>
        <v>261410</v>
      </c>
      <c r="K59" s="10">
        <f t="shared" ref="K59" si="97">SUM(K56:K58)</f>
        <v>280021</v>
      </c>
      <c r="L59" s="28">
        <f t="shared" ref="L59" si="98">SUM(L56:L58)</f>
        <v>305279</v>
      </c>
      <c r="M59" s="10">
        <f t="shared" ref="M59" si="99">SUM(M56:M58)</f>
        <v>341322</v>
      </c>
      <c r="N59" s="28">
        <f t="shared" ref="N59" si="100">SUM(N56:N58)</f>
        <v>366508</v>
      </c>
    </row>
    <row r="60" spans="1:14" x14ac:dyDescent="0.25">
      <c r="A60" s="83"/>
      <c r="B60" s="84"/>
      <c r="C60" s="84"/>
      <c r="D60" s="84"/>
      <c r="E60" s="84"/>
      <c r="F60" s="84"/>
      <c r="G60" s="94"/>
      <c r="H60" s="84"/>
      <c r="I60" s="84"/>
      <c r="J60" s="94"/>
      <c r="K60" s="94"/>
      <c r="L60" s="84"/>
      <c r="M60" s="94"/>
      <c r="N60" s="84"/>
    </row>
    <row r="61" spans="1:14" x14ac:dyDescent="0.25">
      <c r="A61" s="23" t="s">
        <v>90</v>
      </c>
      <c r="B61" s="88">
        <f>B23-B27</f>
        <v>42824</v>
      </c>
      <c r="C61" s="21">
        <f t="shared" ref="C61:J61" si="101">C23-C27</f>
        <v>48266</v>
      </c>
      <c r="D61" s="21">
        <f t="shared" si="101"/>
        <v>48213</v>
      </c>
      <c r="E61" s="21">
        <f t="shared" si="101"/>
        <v>58238</v>
      </c>
      <c r="F61" s="21">
        <f t="shared" si="101"/>
        <v>80096</v>
      </c>
      <c r="G61" s="21">
        <f t="shared" si="101"/>
        <v>85921</v>
      </c>
      <c r="H61" s="21">
        <f t="shared" si="101"/>
        <v>91018</v>
      </c>
      <c r="I61" s="21">
        <f t="shared" si="101"/>
        <v>97234</v>
      </c>
      <c r="J61" s="21">
        <f t="shared" si="101"/>
        <v>120525</v>
      </c>
      <c r="K61" s="21">
        <f t="shared" ref="K61" si="102">K23-K27</f>
        <v>129711</v>
      </c>
      <c r="L61" s="22">
        <f t="shared" ref="L61" si="103">L23-L27</f>
        <v>116914</v>
      </c>
      <c r="M61" s="21">
        <f t="shared" ref="M61" si="104">M23-M27</f>
        <v>116834</v>
      </c>
      <c r="N61" s="22">
        <f t="shared" ref="N61" si="105">N23-N27</f>
        <v>121563</v>
      </c>
    </row>
    <row r="62" spans="1:14" x14ac:dyDescent="0.25">
      <c r="A62" s="82" t="s">
        <v>91</v>
      </c>
    </row>
  </sheetData>
  <pageMargins left="0.7" right="0.7" top="0.78740157499999996" bottom="0.78740157499999996" header="0.3" footer="0.3"/>
  <pageSetup paperSize="9" scale="54" orientation="landscape" r:id="rId1"/>
  <headerFooter>
    <oddFooter>&amp;L&amp;9DT &lt;&amp;F/&amp;A&gt; &amp;D &amp;T</oddFooter>
  </headerFooter>
  <ignoredErrors>
    <ignoredError sqref="B39:I39 B51:I51 H45:I45 H27:I28 H30:I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N62"/>
  <sheetViews>
    <sheetView zoomScaleNormal="100" workbookViewId="0"/>
  </sheetViews>
  <sheetFormatPr baseColWidth="10" defaultRowHeight="15" x14ac:dyDescent="0.25"/>
  <cols>
    <col min="1" max="1" width="27.42578125" customWidth="1"/>
    <col min="2" max="10" width="11.42578125" customWidth="1"/>
    <col min="11" max="11" width="10.85546875" customWidth="1"/>
  </cols>
  <sheetData>
    <row r="1" spans="1:14" x14ac:dyDescent="0.25">
      <c r="A1" s="1" t="s">
        <v>25</v>
      </c>
      <c r="B1" s="2"/>
      <c r="C1" s="31">
        <v>2008</v>
      </c>
      <c r="D1" s="11">
        <v>2009</v>
      </c>
      <c r="E1" s="11">
        <v>2010</v>
      </c>
      <c r="F1" s="11">
        <v>2011</v>
      </c>
      <c r="G1" s="79">
        <v>2012</v>
      </c>
      <c r="H1" s="79">
        <v>2013</v>
      </c>
      <c r="I1" s="79">
        <v>2014</v>
      </c>
      <c r="J1" s="79">
        <v>2015</v>
      </c>
      <c r="K1" s="79">
        <v>2016</v>
      </c>
      <c r="L1" s="75">
        <v>2017</v>
      </c>
      <c r="M1" s="79">
        <v>2018</v>
      </c>
      <c r="N1" s="75">
        <v>2019</v>
      </c>
    </row>
    <row r="2" spans="1:14" x14ac:dyDescent="0.25">
      <c r="B2" s="17" t="s">
        <v>6</v>
      </c>
      <c r="C2" s="32">
        <f t="shared" ref="C2:N2" si="0">C20/B24</f>
        <v>0.28527323247916025</v>
      </c>
      <c r="D2" s="33">
        <f t="shared" si="0"/>
        <v>0.24403848835587785</v>
      </c>
      <c r="E2" s="33">
        <f t="shared" si="0"/>
        <v>0.21352019785655399</v>
      </c>
      <c r="F2" s="33">
        <f t="shared" si="0"/>
        <v>0.34985749185667753</v>
      </c>
      <c r="G2" s="33">
        <f t="shared" si="0"/>
        <v>0.22058707798851027</v>
      </c>
      <c r="H2" s="33">
        <f t="shared" si="0"/>
        <v>0.23526498266468548</v>
      </c>
      <c r="I2" s="33">
        <f t="shared" si="0"/>
        <v>0.20438683948155534</v>
      </c>
      <c r="J2" s="33">
        <f t="shared" si="0"/>
        <v>0.15593427900806206</v>
      </c>
      <c r="K2" s="33">
        <f t="shared" si="0"/>
        <v>0.15599914144666238</v>
      </c>
      <c r="L2" s="34">
        <f t="shared" si="0"/>
        <v>0.15327499337045877</v>
      </c>
      <c r="M2" s="33">
        <f t="shared" si="0"/>
        <v>0.16021947873799725</v>
      </c>
      <c r="N2" s="34">
        <f t="shared" si="0"/>
        <v>0.1167018734633099</v>
      </c>
    </row>
    <row r="3" spans="1:14" x14ac:dyDescent="0.25">
      <c r="B3" s="17" t="s">
        <v>7</v>
      </c>
      <c r="C3" s="32">
        <f t="shared" ref="C3:H3" si="1">C20/C15</f>
        <v>0.15965442764578833</v>
      </c>
      <c r="D3" s="33">
        <f t="shared" si="1"/>
        <v>0.16398050974512743</v>
      </c>
      <c r="E3" s="33">
        <f t="shared" si="1"/>
        <v>0.1454589216944801</v>
      </c>
      <c r="F3" s="33">
        <f t="shared" si="1"/>
        <v>0.24148106513033091</v>
      </c>
      <c r="G3" s="33">
        <f t="shared" si="1"/>
        <v>0.1727793872896505</v>
      </c>
      <c r="H3" s="33">
        <f t="shared" si="1"/>
        <v>0.19774011299435029</v>
      </c>
      <c r="I3" s="33">
        <f t="shared" ref="I3:J3" si="2">I20/I15</f>
        <v>0.18678815489749431</v>
      </c>
      <c r="J3" s="33">
        <f t="shared" si="2"/>
        <v>0.14697253883518491</v>
      </c>
      <c r="K3" s="33">
        <f t="shared" ref="K3" si="3">K20/K15</f>
        <v>0.16471761399691778</v>
      </c>
      <c r="L3" s="34">
        <f t="shared" ref="L3" si="4">L20/L15</f>
        <v>0.17245641703252207</v>
      </c>
      <c r="M3" s="33">
        <f t="shared" ref="M3" si="5">M20/M15</f>
        <v>0.16545248502509308</v>
      </c>
      <c r="N3" s="34">
        <f t="shared" ref="N3" si="6">N20/N15</f>
        <v>0.12230973033789425</v>
      </c>
    </row>
    <row r="4" spans="1:14" x14ac:dyDescent="0.25">
      <c r="B4" s="15" t="s">
        <v>11</v>
      </c>
      <c r="C4" s="35">
        <f t="shared" ref="C4:N4" si="7">C15/((B27+C27)/2)</f>
        <v>1.4373525394263007</v>
      </c>
      <c r="D4" s="36">
        <f t="shared" si="7"/>
        <v>1.1353795414649714</v>
      </c>
      <c r="E4" s="36">
        <f t="shared" si="7"/>
        <v>1.0596386822529225</v>
      </c>
      <c r="F4" s="36">
        <f t="shared" si="7"/>
        <v>0.91683844370007728</v>
      </c>
      <c r="G4" s="36">
        <f t="shared" si="7"/>
        <v>0.90258150662067427</v>
      </c>
      <c r="H4" s="36">
        <f t="shared" si="7"/>
        <v>0.8501011122345804</v>
      </c>
      <c r="I4" s="36">
        <f t="shared" si="7"/>
        <v>0.68658116984673134</v>
      </c>
      <c r="J4" s="36">
        <f t="shared" si="7"/>
        <v>0.65277995793174892</v>
      </c>
      <c r="K4" s="36">
        <f t="shared" si="7"/>
        <v>0.65113259057035344</v>
      </c>
      <c r="L4" s="37">
        <f t="shared" si="7"/>
        <v>0.69954528512858738</v>
      </c>
      <c r="M4" s="36">
        <f t="shared" si="7"/>
        <v>0.68069866108325527</v>
      </c>
      <c r="N4" s="37">
        <f t="shared" si="7"/>
        <v>0.64775719390633812</v>
      </c>
    </row>
    <row r="5" spans="1:14" x14ac:dyDescent="0.25">
      <c r="B5" s="16" t="s">
        <v>8</v>
      </c>
      <c r="C5" s="50">
        <f t="shared" ref="C5:N5" si="8">((B27+C27)/2)/B24</f>
        <v>1.2431305958629206</v>
      </c>
      <c r="D5" s="51">
        <f t="shared" si="8"/>
        <v>1.3107655836006136</v>
      </c>
      <c r="E5" s="51">
        <f t="shared" si="8"/>
        <v>1.3852903073842893</v>
      </c>
      <c r="F5" s="51">
        <f t="shared" si="8"/>
        <v>1.5802117263843649</v>
      </c>
      <c r="G5" s="51">
        <f t="shared" si="8"/>
        <v>1.414495947115763</v>
      </c>
      <c r="H5" s="51">
        <f t="shared" si="8"/>
        <v>1.3995613104082643</v>
      </c>
      <c r="I5" s="51">
        <f t="shared" si="8"/>
        <v>1.5937188434695913</v>
      </c>
      <c r="J5" s="51">
        <f t="shared" si="8"/>
        <v>1.6253189100928667</v>
      </c>
      <c r="K5" s="51">
        <f t="shared" si="8"/>
        <v>1.4544966731058167</v>
      </c>
      <c r="L5" s="52">
        <f t="shared" si="8"/>
        <v>1.2705042239648445</v>
      </c>
      <c r="M5" s="51">
        <f t="shared" si="8"/>
        <v>1.4226141485400745</v>
      </c>
      <c r="N5" s="52">
        <f t="shared" si="8"/>
        <v>1.4730061987048517</v>
      </c>
    </row>
    <row r="6" spans="1:14" s="9" customFormat="1" ht="11.25" x14ac:dyDescent="0.2">
      <c r="B6" s="29" t="s">
        <v>85</v>
      </c>
      <c r="C6" s="38">
        <f t="shared" ref="C6:H6" si="9">C3*C4*C5</f>
        <v>0.2852732324791602</v>
      </c>
      <c r="D6" s="39">
        <f t="shared" si="9"/>
        <v>0.2440384883558778</v>
      </c>
      <c r="E6" s="39">
        <f t="shared" si="9"/>
        <v>0.21352019785655402</v>
      </c>
      <c r="F6" s="39">
        <f t="shared" si="9"/>
        <v>0.34985749185667753</v>
      </c>
      <c r="G6" s="39">
        <f t="shared" si="9"/>
        <v>0.22058707798851027</v>
      </c>
      <c r="H6" s="39">
        <f t="shared" si="9"/>
        <v>0.23526498266468548</v>
      </c>
      <c r="I6" s="39">
        <f t="shared" ref="I6:J6" si="10">I3*I4*I5</f>
        <v>0.20438683948155537</v>
      </c>
      <c r="J6" s="39">
        <f t="shared" si="10"/>
        <v>0.15593427900806203</v>
      </c>
      <c r="K6" s="39">
        <f t="shared" ref="K6" si="11">K3*K4*K5</f>
        <v>0.15599914144666238</v>
      </c>
      <c r="L6" s="40">
        <f t="shared" ref="L6" si="12">L3*L4*L5</f>
        <v>0.15327499337045877</v>
      </c>
      <c r="M6" s="39">
        <f t="shared" ref="M6" si="13">M3*M4*M5</f>
        <v>0.16021947873799725</v>
      </c>
      <c r="N6" s="40">
        <f t="shared" ref="N6" si="14">N3*N4*N5</f>
        <v>0.11670187346330992</v>
      </c>
    </row>
    <row r="7" spans="1:14" x14ac:dyDescent="0.25">
      <c r="B7" s="20" t="s">
        <v>9</v>
      </c>
      <c r="C7" s="44">
        <f t="shared" ref="C7:L7" si="15">C17/((B30+C30)/2)</f>
        <v>0.53657347204161243</v>
      </c>
      <c r="D7" s="45">
        <f t="shared" si="15"/>
        <v>0.39540695710908474</v>
      </c>
      <c r="E7" s="45">
        <f t="shared" si="15"/>
        <v>0.46558537304629904</v>
      </c>
      <c r="F7" s="45">
        <f t="shared" si="15"/>
        <v>0.46399391981759452</v>
      </c>
      <c r="G7" s="45">
        <f t="shared" si="15"/>
        <v>0.30224382946896033</v>
      </c>
      <c r="H7" s="45">
        <f t="shared" si="15"/>
        <v>0.27547819669106344</v>
      </c>
      <c r="I7" s="45">
        <f t="shared" si="15"/>
        <v>0.20372068957407277</v>
      </c>
      <c r="J7" s="45">
        <f t="shared" si="15"/>
        <v>0.15850885368126746</v>
      </c>
      <c r="K7" s="45">
        <f t="shared" si="15"/>
        <v>0.18160277266940161</v>
      </c>
      <c r="L7" s="46">
        <f t="shared" si="15"/>
        <v>0.17820407417557321</v>
      </c>
      <c r="M7" s="45">
        <f>M17/((L30+M30)/2)</f>
        <v>0.20430242347167243</v>
      </c>
      <c r="N7" s="46">
        <f>N17/((M30+N30)/2)</f>
        <v>0.13449800042096402</v>
      </c>
    </row>
    <row r="8" spans="1:14" x14ac:dyDescent="0.25">
      <c r="B8" s="17" t="s">
        <v>10</v>
      </c>
      <c r="C8" s="32">
        <f t="shared" ref="C8:H8" si="16">C17/C15</f>
        <v>0.28518358531317495</v>
      </c>
      <c r="D8" s="33">
        <f t="shared" si="16"/>
        <v>0.27426911544227889</v>
      </c>
      <c r="E8" s="33">
        <f t="shared" si="16"/>
        <v>0.31667201540436457</v>
      </c>
      <c r="F8" s="33">
        <f t="shared" si="16"/>
        <v>0.34314620951310337</v>
      </c>
      <c r="G8" s="33">
        <f t="shared" si="16"/>
        <v>0.24909079701658141</v>
      </c>
      <c r="H8" s="33">
        <f t="shared" si="16"/>
        <v>0.26636931311329171</v>
      </c>
      <c r="I8" s="33">
        <f t="shared" ref="I8:J8" si="17">I17/I15</f>
        <v>0.24664009111617313</v>
      </c>
      <c r="J8" s="33">
        <f t="shared" si="17"/>
        <v>0.20449189631125861</v>
      </c>
      <c r="K8" s="33">
        <f t="shared" ref="K8" si="18">K17/K15</f>
        <v>0.232753150213036</v>
      </c>
      <c r="L8" s="34">
        <f t="shared" ref="L8" si="19">L17/L15</f>
        <v>0.20787690209283491</v>
      </c>
      <c r="M8" s="33">
        <f t="shared" ref="M8" si="20">M17/M15</f>
        <v>0.23081593006313744</v>
      </c>
      <c r="N8" s="34">
        <f t="shared" ref="N8" si="21">N17/N15</f>
        <v>0.16234166878379849</v>
      </c>
    </row>
    <row r="9" spans="1:14" x14ac:dyDescent="0.25">
      <c r="B9" s="16" t="s">
        <v>30</v>
      </c>
      <c r="C9" s="47">
        <f t="shared" ref="C9:N9" si="22">C15/((B30+C30)/2)</f>
        <v>1.8815019505851756</v>
      </c>
      <c r="D9" s="48">
        <f t="shared" si="22"/>
        <v>1.4416751097602161</v>
      </c>
      <c r="E9" s="48">
        <f t="shared" si="22"/>
        <v>1.4702447655558832</v>
      </c>
      <c r="F9" s="48">
        <f t="shared" si="22"/>
        <v>1.352175565266958</v>
      </c>
      <c r="G9" s="48">
        <f t="shared" si="22"/>
        <v>1.2133881824981301</v>
      </c>
      <c r="H9" s="48">
        <f t="shared" si="22"/>
        <v>1.0341964450458208</v>
      </c>
      <c r="I9" s="48">
        <f t="shared" si="22"/>
        <v>0.82598367788518079</v>
      </c>
      <c r="J9" s="48">
        <f t="shared" si="22"/>
        <v>0.7751351351351351</v>
      </c>
      <c r="K9" s="48">
        <f t="shared" si="22"/>
        <v>0.78023765737728112</v>
      </c>
      <c r="L9" s="49">
        <f t="shared" si="22"/>
        <v>0.85725769617246739</v>
      </c>
      <c r="M9" s="48">
        <f t="shared" si="22"/>
        <v>0.88513138333124364</v>
      </c>
      <c r="N9" s="49">
        <f t="shared" si="22"/>
        <v>0.82848723576991312</v>
      </c>
    </row>
    <row r="10" spans="1:14" s="9" customFormat="1" ht="11.25" x14ac:dyDescent="0.2">
      <c r="B10" s="30" t="s">
        <v>85</v>
      </c>
      <c r="C10" s="41">
        <f t="shared" ref="C10:H10" si="23">C8*C9</f>
        <v>0.53657347204161243</v>
      </c>
      <c r="D10" s="42">
        <f t="shared" si="23"/>
        <v>0.3954069571090848</v>
      </c>
      <c r="E10" s="42">
        <f t="shared" si="23"/>
        <v>0.46558537304629904</v>
      </c>
      <c r="F10" s="42">
        <f t="shared" si="23"/>
        <v>0.46399391981759458</v>
      </c>
      <c r="G10" s="42">
        <f t="shared" si="23"/>
        <v>0.30224382946896033</v>
      </c>
      <c r="H10" s="42">
        <f t="shared" si="23"/>
        <v>0.27547819669106338</v>
      </c>
      <c r="I10" s="42">
        <f t="shared" ref="I10:J10" si="24">I8*I9</f>
        <v>0.2037206895740728</v>
      </c>
      <c r="J10" s="42">
        <f t="shared" si="24"/>
        <v>0.15850885368126746</v>
      </c>
      <c r="K10" s="42">
        <f t="shared" ref="K10" si="25">K8*K9</f>
        <v>0.18160277266940164</v>
      </c>
      <c r="L10" s="43">
        <f t="shared" ref="L10" si="26">L8*L9</f>
        <v>0.17820407417557321</v>
      </c>
      <c r="M10" s="42">
        <f t="shared" ref="M10" si="27">M8*M9</f>
        <v>0.20430242347167243</v>
      </c>
      <c r="N10" s="43">
        <f t="shared" ref="N10" si="28">N8*N9</f>
        <v>0.13449800042096402</v>
      </c>
    </row>
    <row r="11" spans="1:14" s="9" customFormat="1" x14ac:dyDescent="0.25">
      <c r="A11"/>
      <c r="B11" s="20" t="s">
        <v>28</v>
      </c>
      <c r="C11" s="44">
        <f t="shared" ref="C11:G11" si="29">(C19+C21)/((B27+C27)/2)</f>
        <v>0.34421954551098971</v>
      </c>
      <c r="D11" s="45">
        <f t="shared" si="29"/>
        <v>0.27150380339379754</v>
      </c>
      <c r="E11" s="45">
        <f t="shared" si="29"/>
        <v>0.21066950053134964</v>
      </c>
      <c r="F11" s="45">
        <f t="shared" si="29"/>
        <v>0.31744395774284978</v>
      </c>
      <c r="G11" s="45">
        <f t="shared" si="29"/>
        <v>0.22093023255813954</v>
      </c>
      <c r="H11" s="45">
        <f t="shared" ref="H11:N11" si="30">(H19+H21)/((G27+H27)/2)</f>
        <v>0.2313953488372093</v>
      </c>
      <c r="I11" s="45">
        <f t="shared" si="30"/>
        <v>0.17621989365029717</v>
      </c>
      <c r="J11" s="45">
        <f t="shared" si="30"/>
        <v>0.13301729821366903</v>
      </c>
      <c r="K11" s="45">
        <f t="shared" si="30"/>
        <v>0.15143510661846085</v>
      </c>
      <c r="L11" s="46">
        <f t="shared" si="30"/>
        <v>0.15853894893775625</v>
      </c>
      <c r="M11" s="45">
        <f t="shared" si="30"/>
        <v>0.1657942586368395</v>
      </c>
      <c r="N11" s="46">
        <f t="shared" si="30"/>
        <v>0.12189674628549935</v>
      </c>
    </row>
    <row r="12" spans="1:14" s="9" customFormat="1" x14ac:dyDescent="0.25">
      <c r="A12"/>
      <c r="B12" s="20" t="s">
        <v>29</v>
      </c>
      <c r="C12" s="44">
        <f t="shared" ref="C12:N12" si="31">C20/((B27+C27)/2)</f>
        <v>0.22947969700732646</v>
      </c>
      <c r="D12" s="45">
        <f t="shared" si="31"/>
        <v>0.18618011596361508</v>
      </c>
      <c r="E12" s="45">
        <f t="shared" si="31"/>
        <v>0.15413390010626993</v>
      </c>
      <c r="F12" s="45">
        <f t="shared" si="31"/>
        <v>0.2213991239371296</v>
      </c>
      <c r="G12" s="45">
        <f t="shared" si="31"/>
        <v>0.15594747969288972</v>
      </c>
      <c r="H12" s="45">
        <f t="shared" si="31"/>
        <v>0.16809908998988879</v>
      </c>
      <c r="I12" s="45">
        <f t="shared" si="31"/>
        <v>0.12824522990303411</v>
      </c>
      <c r="J12" s="45">
        <f t="shared" si="31"/>
        <v>9.5940727717954352E-2</v>
      </c>
      <c r="K12" s="45">
        <f t="shared" si="31"/>
        <v>0.10725300671438058</v>
      </c>
      <c r="L12" s="46">
        <f t="shared" si="31"/>
        <v>0.12064107342527022</v>
      </c>
      <c r="M12" s="45">
        <f t="shared" si="31"/>
        <v>0.11262328502947822</v>
      </c>
      <c r="N12" s="46">
        <f t="shared" si="31"/>
        <v>7.9227007711115294E-2</v>
      </c>
    </row>
    <row r="13" spans="1:14" x14ac:dyDescent="0.25">
      <c r="G13" s="2"/>
      <c r="I13" s="2"/>
      <c r="J13" s="2"/>
      <c r="K13" s="2"/>
      <c r="L13" s="2"/>
      <c r="M13" s="2"/>
      <c r="N13" s="2"/>
    </row>
    <row r="14" spans="1:14" x14ac:dyDescent="0.25">
      <c r="A14" s="82" t="s">
        <v>63</v>
      </c>
      <c r="B14" s="12"/>
      <c r="C14" s="11">
        <v>2008</v>
      </c>
      <c r="D14" s="11">
        <v>2009</v>
      </c>
      <c r="E14" s="11">
        <v>2010</v>
      </c>
      <c r="F14" s="11">
        <v>2011</v>
      </c>
      <c r="G14" s="79">
        <v>2012</v>
      </c>
      <c r="H14" s="79">
        <v>2013</v>
      </c>
      <c r="I14" s="79">
        <v>2014</v>
      </c>
      <c r="J14" s="79">
        <v>2015</v>
      </c>
      <c r="K14" s="79">
        <v>2016</v>
      </c>
      <c r="L14" s="75">
        <f>L1</f>
        <v>2017</v>
      </c>
      <c r="M14" s="79">
        <f>M1</f>
        <v>2018</v>
      </c>
      <c r="N14" s="75">
        <f>N1</f>
        <v>2019</v>
      </c>
    </row>
    <row r="15" spans="1:14" s="6" customFormat="1" x14ac:dyDescent="0.25">
      <c r="A15" s="23" t="s">
        <v>64</v>
      </c>
      <c r="B15" s="24"/>
      <c r="C15" s="24">
        <v>11575</v>
      </c>
      <c r="D15" s="24">
        <v>10672</v>
      </c>
      <c r="E15" s="24">
        <v>12464</v>
      </c>
      <c r="F15" s="24">
        <v>14233</v>
      </c>
      <c r="G15" s="24">
        <v>16223</v>
      </c>
      <c r="H15" s="24">
        <v>16815</v>
      </c>
      <c r="I15" s="24">
        <v>17560</v>
      </c>
      <c r="J15" s="24">
        <v>20793</v>
      </c>
      <c r="K15" s="24">
        <v>22062</v>
      </c>
      <c r="L15" s="25">
        <v>23461</v>
      </c>
      <c r="M15" s="133">
        <v>24708</v>
      </c>
      <c r="N15" s="110">
        <v>27553</v>
      </c>
    </row>
    <row r="16" spans="1:14" x14ac:dyDescent="0.25">
      <c r="A16" s="15" t="s">
        <v>0</v>
      </c>
      <c r="B16" s="3"/>
      <c r="C16" s="59">
        <f>C17+0</f>
        <v>3301</v>
      </c>
      <c r="D16" s="59">
        <f>D17+0</f>
        <v>2927</v>
      </c>
      <c r="E16" s="59">
        <f>E17+0</f>
        <v>3947</v>
      </c>
      <c r="F16" s="59">
        <f>F17+724</f>
        <v>5608</v>
      </c>
      <c r="G16" s="56">
        <f>G17+863</f>
        <v>4904</v>
      </c>
      <c r="H16" s="56">
        <f>H17+951</f>
        <v>5430</v>
      </c>
      <c r="I16" s="56">
        <f>I17+1010</f>
        <v>5341</v>
      </c>
      <c r="J16" s="95">
        <f>J17+1289</f>
        <v>5541</v>
      </c>
      <c r="K16" s="95">
        <f>K17+1268</f>
        <v>6403</v>
      </c>
      <c r="L16" s="92">
        <f>L17+1272</f>
        <v>6149</v>
      </c>
      <c r="M16" s="134">
        <f>M17+1362</f>
        <v>7065</v>
      </c>
      <c r="N16" s="114">
        <f>N17+1872</f>
        <v>6345</v>
      </c>
    </row>
    <row r="17" spans="1:14" x14ac:dyDescent="0.25">
      <c r="A17" s="15" t="s">
        <v>1</v>
      </c>
      <c r="B17" s="3"/>
      <c r="C17" s="54">
        <f t="shared" ref="C17:E17" si="32">C18</f>
        <v>3301</v>
      </c>
      <c r="D17" s="54">
        <f t="shared" si="32"/>
        <v>2927</v>
      </c>
      <c r="E17" s="54">
        <f t="shared" si="32"/>
        <v>3947</v>
      </c>
      <c r="F17" s="54">
        <f t="shared" ref="F17:N17" si="33">F18</f>
        <v>4884</v>
      </c>
      <c r="G17" s="5">
        <f t="shared" si="33"/>
        <v>4041</v>
      </c>
      <c r="H17" s="5">
        <f t="shared" si="33"/>
        <v>4479</v>
      </c>
      <c r="I17" s="5">
        <f t="shared" si="33"/>
        <v>4331</v>
      </c>
      <c r="J17" s="5">
        <f t="shared" si="33"/>
        <v>4252</v>
      </c>
      <c r="K17" s="5">
        <f t="shared" si="33"/>
        <v>5135</v>
      </c>
      <c r="L17" s="104">
        <f t="shared" si="33"/>
        <v>4877</v>
      </c>
      <c r="M17" s="135">
        <f t="shared" si="33"/>
        <v>5703</v>
      </c>
      <c r="N17" s="104">
        <f t="shared" si="33"/>
        <v>4473</v>
      </c>
    </row>
    <row r="18" spans="1:14" x14ac:dyDescent="0.25">
      <c r="A18" s="15" t="s">
        <v>2</v>
      </c>
      <c r="B18" s="3"/>
      <c r="C18" s="3">
        <v>3301</v>
      </c>
      <c r="D18" s="3">
        <v>2927</v>
      </c>
      <c r="E18" s="3">
        <v>3947</v>
      </c>
      <c r="F18" s="54">
        <v>4884</v>
      </c>
      <c r="G18" s="5">
        <v>4041</v>
      </c>
      <c r="H18" s="5">
        <v>4479</v>
      </c>
      <c r="I18" s="5">
        <v>4331</v>
      </c>
      <c r="J18" s="5">
        <v>4252</v>
      </c>
      <c r="K18" s="5">
        <v>5135</v>
      </c>
      <c r="L18" s="76">
        <v>4877</v>
      </c>
      <c r="M18" s="5">
        <v>5703</v>
      </c>
      <c r="N18" s="76">
        <v>4473</v>
      </c>
    </row>
    <row r="19" spans="1:14" x14ac:dyDescent="0.25">
      <c r="A19" s="15" t="s">
        <v>3</v>
      </c>
      <c r="B19" s="3"/>
      <c r="C19" s="3">
        <v>2624</v>
      </c>
      <c r="D19" s="3">
        <v>2435</v>
      </c>
      <c r="E19" s="3">
        <v>2338</v>
      </c>
      <c r="F19" s="3">
        <v>4767</v>
      </c>
      <c r="G19" s="59">
        <v>3796</v>
      </c>
      <c r="H19" s="59">
        <v>4396</v>
      </c>
      <c r="I19" s="59">
        <v>4355</v>
      </c>
      <c r="J19" s="59">
        <v>3991</v>
      </c>
      <c r="K19" s="59">
        <v>4863</v>
      </c>
      <c r="L19" s="26">
        <v>5029</v>
      </c>
      <c r="M19" s="5">
        <v>5600</v>
      </c>
      <c r="N19" s="76">
        <v>4596</v>
      </c>
    </row>
    <row r="20" spans="1:14" x14ac:dyDescent="0.25">
      <c r="A20" s="16" t="s">
        <v>4</v>
      </c>
      <c r="B20" s="4"/>
      <c r="C20" s="4">
        <v>1848</v>
      </c>
      <c r="D20" s="4">
        <v>1750</v>
      </c>
      <c r="E20" s="4">
        <v>1813</v>
      </c>
      <c r="F20" s="4">
        <v>3437</v>
      </c>
      <c r="G20" s="4">
        <v>2803</v>
      </c>
      <c r="H20" s="4">
        <v>3325</v>
      </c>
      <c r="I20" s="4">
        <v>3280</v>
      </c>
      <c r="J20" s="4">
        <v>3056</v>
      </c>
      <c r="K20" s="4">
        <v>3634</v>
      </c>
      <c r="L20" s="27">
        <v>4046</v>
      </c>
      <c r="M20" s="136">
        <v>4088</v>
      </c>
      <c r="N20" s="109">
        <v>3370</v>
      </c>
    </row>
    <row r="21" spans="1:14" x14ac:dyDescent="0.25">
      <c r="A21" s="16" t="s">
        <v>65</v>
      </c>
      <c r="B21" s="4"/>
      <c r="C21" s="4">
        <v>148</v>
      </c>
      <c r="D21" s="4">
        <v>117</v>
      </c>
      <c r="E21" s="4">
        <v>140</v>
      </c>
      <c r="F21" s="4">
        <v>161</v>
      </c>
      <c r="G21" s="4">
        <v>175</v>
      </c>
      <c r="H21" s="4">
        <v>181</v>
      </c>
      <c r="I21" s="4">
        <v>152</v>
      </c>
      <c r="J21" s="4">
        <v>246</v>
      </c>
      <c r="K21" s="4">
        <v>268</v>
      </c>
      <c r="L21" s="27">
        <v>288</v>
      </c>
      <c r="M21" s="136">
        <v>418</v>
      </c>
      <c r="N21" s="109">
        <v>589</v>
      </c>
    </row>
    <row r="22" spans="1:14" x14ac:dyDescent="0.25">
      <c r="A22" s="16"/>
      <c r="B22" s="13">
        <v>39447</v>
      </c>
      <c r="C22" s="13">
        <v>39813</v>
      </c>
      <c r="D22" s="13">
        <v>40178</v>
      </c>
      <c r="E22" s="13">
        <v>40543</v>
      </c>
      <c r="F22" s="13">
        <v>40908</v>
      </c>
      <c r="G22" s="13">
        <v>41274</v>
      </c>
      <c r="H22" s="13">
        <v>41639</v>
      </c>
      <c r="I22" s="13">
        <v>42004</v>
      </c>
      <c r="J22" s="13">
        <v>42369</v>
      </c>
      <c r="K22" s="13">
        <v>42735</v>
      </c>
      <c r="L22" s="14">
        <v>43100</v>
      </c>
      <c r="M22" s="13">
        <v>43465</v>
      </c>
      <c r="N22" s="14">
        <v>43830</v>
      </c>
    </row>
    <row r="23" spans="1:14" x14ac:dyDescent="0.25">
      <c r="A23" s="20" t="s">
        <v>66</v>
      </c>
      <c r="B23" s="21">
        <v>10161</v>
      </c>
      <c r="C23" s="21">
        <v>13900</v>
      </c>
      <c r="D23" s="21">
        <v>13374</v>
      </c>
      <c r="E23" s="21">
        <v>20841</v>
      </c>
      <c r="F23" s="21">
        <v>23227</v>
      </c>
      <c r="G23" s="21">
        <v>26306</v>
      </c>
      <c r="H23" s="21">
        <v>27091</v>
      </c>
      <c r="I23" s="21">
        <v>38507</v>
      </c>
      <c r="J23" s="21">
        <v>41390</v>
      </c>
      <c r="K23" s="21">
        <v>44277</v>
      </c>
      <c r="L23" s="22">
        <v>42484</v>
      </c>
      <c r="M23" s="21">
        <v>51502</v>
      </c>
      <c r="N23" s="22">
        <v>60215</v>
      </c>
    </row>
    <row r="24" spans="1:14" x14ac:dyDescent="0.25">
      <c r="A24" s="15" t="s">
        <v>67</v>
      </c>
      <c r="B24" s="3">
        <v>6478</v>
      </c>
      <c r="C24" s="3">
        <v>7171</v>
      </c>
      <c r="D24" s="3">
        <v>8491</v>
      </c>
      <c r="E24" s="3">
        <v>9824</v>
      </c>
      <c r="F24" s="3">
        <v>12707</v>
      </c>
      <c r="G24" s="59">
        <v>14133</v>
      </c>
      <c r="H24" s="59">
        <v>16048</v>
      </c>
      <c r="I24" s="59">
        <v>19598</v>
      </c>
      <c r="J24" s="59">
        <v>23295</v>
      </c>
      <c r="K24" s="59">
        <v>26397</v>
      </c>
      <c r="L24" s="26">
        <v>25515</v>
      </c>
      <c r="M24" s="59">
        <v>28877</v>
      </c>
      <c r="N24" s="26">
        <v>30822</v>
      </c>
    </row>
    <row r="25" spans="1:14" x14ac:dyDescent="0.25">
      <c r="A25" s="15" t="s">
        <v>68</v>
      </c>
      <c r="B25" s="3">
        <v>27</v>
      </c>
      <c r="C25" s="3">
        <v>2321</v>
      </c>
      <c r="D25" s="3">
        <v>703</v>
      </c>
      <c r="E25" s="3">
        <v>4378</v>
      </c>
      <c r="F25" s="3">
        <v>3965</v>
      </c>
      <c r="G25" s="59">
        <v>4975</v>
      </c>
      <c r="H25" s="59">
        <v>4268</v>
      </c>
      <c r="I25" s="59">
        <v>11085</v>
      </c>
      <c r="J25" s="59">
        <v>9522</v>
      </c>
      <c r="K25" s="59">
        <v>8294</v>
      </c>
      <c r="L25" s="26">
        <f>1561+5034</f>
        <v>6595</v>
      </c>
      <c r="M25" s="5">
        <v>11331</v>
      </c>
      <c r="N25" s="26">
        <v>13668</v>
      </c>
    </row>
    <row r="26" spans="1:14" x14ac:dyDescent="0.25">
      <c r="A26" s="15" t="s">
        <v>69</v>
      </c>
      <c r="B26" s="3">
        <v>47</v>
      </c>
      <c r="C26" s="3">
        <v>62</v>
      </c>
      <c r="D26" s="3">
        <v>51</v>
      </c>
      <c r="E26" s="3">
        <v>78</v>
      </c>
      <c r="F26" s="3">
        <v>96</v>
      </c>
      <c r="G26" s="59">
        <v>72</v>
      </c>
      <c r="H26" s="59">
        <v>64</v>
      </c>
      <c r="I26" s="59">
        <v>89</v>
      </c>
      <c r="J26" s="59">
        <v>117</v>
      </c>
      <c r="K26" s="59">
        <v>140</v>
      </c>
      <c r="L26" s="26">
        <v>134</v>
      </c>
      <c r="M26" s="5">
        <v>144</v>
      </c>
      <c r="N26" s="76">
        <v>230</v>
      </c>
    </row>
    <row r="27" spans="1:14" x14ac:dyDescent="0.25">
      <c r="A27" s="18" t="s">
        <v>70</v>
      </c>
      <c r="B27" s="10">
        <f t="shared" ref="B27:H27" si="34">SUM(B24:B26)</f>
        <v>6552</v>
      </c>
      <c r="C27" s="10">
        <f t="shared" si="34"/>
        <v>9554</v>
      </c>
      <c r="D27" s="10">
        <f t="shared" si="34"/>
        <v>9245</v>
      </c>
      <c r="E27" s="10">
        <f t="shared" si="34"/>
        <v>14280</v>
      </c>
      <c r="F27" s="10">
        <f t="shared" si="34"/>
        <v>16768</v>
      </c>
      <c r="G27" s="10">
        <f t="shared" si="34"/>
        <v>19180</v>
      </c>
      <c r="H27" s="10">
        <f t="shared" si="34"/>
        <v>20380</v>
      </c>
      <c r="I27" s="10">
        <f t="shared" ref="I27:J27" si="35">SUM(I24:I26)</f>
        <v>30772</v>
      </c>
      <c r="J27" s="10">
        <f t="shared" si="35"/>
        <v>32934</v>
      </c>
      <c r="K27" s="10">
        <f t="shared" ref="K27" si="36">SUM(K24:K26)</f>
        <v>34831</v>
      </c>
      <c r="L27" s="28">
        <f t="shared" ref="L27" si="37">SUM(L24:L26)</f>
        <v>32244</v>
      </c>
      <c r="M27" s="10">
        <f t="shared" ref="M27" si="38">SUM(M24:M26)</f>
        <v>40352</v>
      </c>
      <c r="N27" s="28">
        <f t="shared" ref="N27" si="39">SUM(N24:N26)</f>
        <v>44720</v>
      </c>
    </row>
    <row r="28" spans="1:14" x14ac:dyDescent="0.25">
      <c r="A28" s="15" t="s">
        <v>71</v>
      </c>
      <c r="B28" s="3">
        <v>1608</v>
      </c>
      <c r="C28" s="3">
        <v>1280</v>
      </c>
      <c r="D28" s="3">
        <v>1884</v>
      </c>
      <c r="E28" s="3">
        <v>3518</v>
      </c>
      <c r="F28" s="3">
        <v>4965</v>
      </c>
      <c r="G28" s="59">
        <v>2477</v>
      </c>
      <c r="H28" s="59">
        <v>2748</v>
      </c>
      <c r="I28" s="59">
        <v>3328</v>
      </c>
      <c r="J28" s="59">
        <v>3411</v>
      </c>
      <c r="K28" s="59">
        <v>3702</v>
      </c>
      <c r="L28" s="26">
        <v>4011</v>
      </c>
      <c r="M28" s="59">
        <v>8627</v>
      </c>
      <c r="N28" s="26">
        <v>5314</v>
      </c>
    </row>
    <row r="29" spans="1:14" x14ac:dyDescent="0.25">
      <c r="A29" s="15" t="s">
        <v>72</v>
      </c>
      <c r="B29" s="3">
        <f>B35</f>
        <v>546</v>
      </c>
      <c r="C29" s="3">
        <f t="shared" ref="C29:J29" si="40">C35</f>
        <v>368</v>
      </c>
      <c r="D29" s="3">
        <f t="shared" si="40"/>
        <v>462</v>
      </c>
      <c r="E29" s="3">
        <f t="shared" si="40"/>
        <v>706</v>
      </c>
      <c r="F29" s="3">
        <f t="shared" si="40"/>
        <v>807</v>
      </c>
      <c r="G29" s="59">
        <f t="shared" si="40"/>
        <v>959</v>
      </c>
      <c r="H29" s="59">
        <f t="shared" si="40"/>
        <v>858</v>
      </c>
      <c r="I29" s="59">
        <f t="shared" si="40"/>
        <v>1699</v>
      </c>
      <c r="J29" s="59">
        <f t="shared" si="40"/>
        <v>1618</v>
      </c>
      <c r="K29" s="59">
        <f t="shared" ref="K29" si="41">K35</f>
        <v>2482</v>
      </c>
      <c r="L29" s="26">
        <f t="shared" ref="L29" si="42">L35</f>
        <v>2145</v>
      </c>
      <c r="M29" s="59">
        <f t="shared" ref="M29" si="43">M35</f>
        <v>1984</v>
      </c>
      <c r="N29" s="26">
        <f t="shared" ref="N29" si="44">N35</f>
        <v>2633</v>
      </c>
    </row>
    <row r="30" spans="1:14" s="1" customFormat="1" x14ac:dyDescent="0.25">
      <c r="A30" s="18" t="s">
        <v>73</v>
      </c>
      <c r="B30" s="10">
        <f>SUM(B24:B26)-B28-B29</f>
        <v>4398</v>
      </c>
      <c r="C30" s="10">
        <f t="shared" ref="C30:I30" si="45">SUM(C24:C26)-C28-C29</f>
        <v>7906</v>
      </c>
      <c r="D30" s="10">
        <f t="shared" si="45"/>
        <v>6899</v>
      </c>
      <c r="E30" s="10">
        <f t="shared" si="45"/>
        <v>10056</v>
      </c>
      <c r="F30" s="10">
        <f t="shared" si="45"/>
        <v>10996</v>
      </c>
      <c r="G30" s="10">
        <f t="shared" si="45"/>
        <v>15744</v>
      </c>
      <c r="H30" s="10">
        <f t="shared" si="45"/>
        <v>16774</v>
      </c>
      <c r="I30" s="10">
        <f t="shared" si="45"/>
        <v>25745</v>
      </c>
      <c r="J30" s="10">
        <f t="shared" ref="J30" si="46">SUM(J24:J26)-J28-J29</f>
        <v>27905</v>
      </c>
      <c r="K30" s="10">
        <f t="shared" ref="K30" si="47">SUM(K24:K26)-K28-K29</f>
        <v>28647</v>
      </c>
      <c r="L30" s="28">
        <f t="shared" ref="L30" si="48">SUM(L24:L26)-L28-L29</f>
        <v>26088</v>
      </c>
      <c r="M30" s="10">
        <f t="shared" ref="M30" si="49">SUM(M24:M26)-M28-M29</f>
        <v>29741</v>
      </c>
      <c r="N30" s="28">
        <f t="shared" ref="N30" si="50">SUM(N24:N26)-N28-N29</f>
        <v>36773</v>
      </c>
    </row>
    <row r="31" spans="1:14" x14ac:dyDescent="0.25">
      <c r="B31" s="13">
        <v>39447</v>
      </c>
      <c r="C31" s="13">
        <v>39813</v>
      </c>
      <c r="D31" s="13">
        <v>40178</v>
      </c>
      <c r="E31" s="13">
        <v>40543</v>
      </c>
      <c r="F31" s="13">
        <v>40908</v>
      </c>
      <c r="G31" s="13">
        <v>41274</v>
      </c>
      <c r="H31" s="13">
        <v>41639</v>
      </c>
      <c r="I31" s="13">
        <v>42004</v>
      </c>
      <c r="J31" s="13">
        <v>42369</v>
      </c>
      <c r="K31" s="13">
        <v>42735</v>
      </c>
      <c r="L31" s="14">
        <f>L22</f>
        <v>43100</v>
      </c>
      <c r="M31" s="13">
        <f>M22</f>
        <v>43465</v>
      </c>
      <c r="N31" s="14">
        <f>N22</f>
        <v>43830</v>
      </c>
    </row>
    <row r="32" spans="1:14" x14ac:dyDescent="0.25">
      <c r="A32" s="17" t="s">
        <v>74</v>
      </c>
      <c r="B32" s="3">
        <v>405</v>
      </c>
      <c r="C32" s="3">
        <v>1140</v>
      </c>
      <c r="D32" s="3">
        <v>894</v>
      </c>
      <c r="E32" s="3">
        <v>2376</v>
      </c>
      <c r="F32" s="3">
        <v>2024</v>
      </c>
      <c r="G32" s="59">
        <v>3234</v>
      </c>
      <c r="H32" s="59">
        <v>2954</v>
      </c>
      <c r="I32" s="59">
        <v>4608</v>
      </c>
      <c r="J32" s="59">
        <v>4280</v>
      </c>
      <c r="K32" s="59">
        <v>3786</v>
      </c>
      <c r="L32" s="26">
        <v>2967</v>
      </c>
      <c r="M32" s="59">
        <v>3227</v>
      </c>
      <c r="N32" s="26">
        <v>4491</v>
      </c>
    </row>
    <row r="33" spans="1:14" x14ac:dyDescent="0.25">
      <c r="A33" s="15" t="s">
        <v>5</v>
      </c>
      <c r="B33" s="3">
        <v>1426</v>
      </c>
      <c r="C33" s="3">
        <v>4975</v>
      </c>
      <c r="D33" s="3">
        <v>4994</v>
      </c>
      <c r="E33" s="3">
        <v>8431</v>
      </c>
      <c r="F33" s="3">
        <v>8711</v>
      </c>
      <c r="G33" s="59">
        <v>13192</v>
      </c>
      <c r="H33" s="59">
        <v>13690</v>
      </c>
      <c r="I33" s="59">
        <v>20945</v>
      </c>
      <c r="J33" s="59">
        <v>22689</v>
      </c>
      <c r="K33" s="59">
        <v>23311</v>
      </c>
      <c r="L33" s="26">
        <v>21274</v>
      </c>
      <c r="M33" s="59">
        <v>23736</v>
      </c>
      <c r="N33" s="26">
        <v>29162</v>
      </c>
    </row>
    <row r="34" spans="1:14" x14ac:dyDescent="0.25">
      <c r="A34" s="15" t="s">
        <v>75</v>
      </c>
      <c r="B34" s="3">
        <v>1316</v>
      </c>
      <c r="C34" s="3">
        <v>1405</v>
      </c>
      <c r="D34" s="3">
        <v>1371</v>
      </c>
      <c r="E34" s="3">
        <v>1449</v>
      </c>
      <c r="F34" s="3">
        <v>1551</v>
      </c>
      <c r="G34" s="59">
        <v>1708</v>
      </c>
      <c r="H34" s="59">
        <v>1820</v>
      </c>
      <c r="I34" s="59">
        <v>2102</v>
      </c>
      <c r="J34" s="59">
        <v>2192</v>
      </c>
      <c r="K34" s="59">
        <v>2580</v>
      </c>
      <c r="L34" s="26">
        <v>2967</v>
      </c>
      <c r="M34" s="59">
        <v>3553</v>
      </c>
      <c r="N34" s="26">
        <v>5496</v>
      </c>
    </row>
    <row r="35" spans="1:14" x14ac:dyDescent="0.25">
      <c r="A35" s="15" t="s">
        <v>72</v>
      </c>
      <c r="B35" s="54">
        <v>546</v>
      </c>
      <c r="C35" s="54">
        <v>368</v>
      </c>
      <c r="D35" s="54">
        <v>462</v>
      </c>
      <c r="E35" s="54">
        <v>706</v>
      </c>
      <c r="F35" s="54">
        <v>807</v>
      </c>
      <c r="G35" s="59">
        <v>959</v>
      </c>
      <c r="H35" s="59">
        <v>858</v>
      </c>
      <c r="I35" s="59">
        <v>1699</v>
      </c>
      <c r="J35" s="59">
        <v>1618</v>
      </c>
      <c r="K35" s="59">
        <v>2482</v>
      </c>
      <c r="L35" s="26">
        <v>2145</v>
      </c>
      <c r="M35" s="59">
        <f>448+1536</f>
        <v>1984</v>
      </c>
      <c r="N35" s="26">
        <f>297+2336</f>
        <v>2633</v>
      </c>
    </row>
    <row r="36" spans="1:14" x14ac:dyDescent="0.25">
      <c r="A36" s="15" t="s">
        <v>76</v>
      </c>
      <c r="B36" s="3">
        <v>75</v>
      </c>
      <c r="C36" s="3">
        <v>92</v>
      </c>
      <c r="D36" s="3">
        <v>147</v>
      </c>
      <c r="E36" s="3">
        <v>181</v>
      </c>
      <c r="F36" s="3">
        <v>187</v>
      </c>
      <c r="G36" s="59">
        <v>362</v>
      </c>
      <c r="H36" s="59">
        <v>453</v>
      </c>
      <c r="I36" s="59">
        <v>595</v>
      </c>
      <c r="J36" s="59">
        <v>468</v>
      </c>
      <c r="K36" s="59">
        <v>563</v>
      </c>
      <c r="L36" s="26">
        <v>1411</v>
      </c>
      <c r="M36" s="5">
        <v>2191</v>
      </c>
      <c r="N36" s="76">
        <v>2889</v>
      </c>
    </row>
    <row r="37" spans="1:14" x14ac:dyDescent="0.25">
      <c r="A37" s="15" t="s">
        <v>77</v>
      </c>
      <c r="B37" s="3">
        <v>2895</v>
      </c>
      <c r="C37" s="3">
        <v>3128</v>
      </c>
      <c r="D37" s="3">
        <v>2546</v>
      </c>
      <c r="E37" s="3">
        <v>3099</v>
      </c>
      <c r="F37" s="3">
        <v>3493</v>
      </c>
      <c r="G37" s="59">
        <v>3837</v>
      </c>
      <c r="H37" s="59">
        <v>3815</v>
      </c>
      <c r="I37" s="59">
        <v>4242</v>
      </c>
      <c r="J37" s="59">
        <v>5362</v>
      </c>
      <c r="K37" s="59">
        <v>5825</v>
      </c>
      <c r="L37" s="26">
        <v>5810</v>
      </c>
      <c r="M37" s="5">
        <v>6188</v>
      </c>
      <c r="N37" s="76">
        <v>7582</v>
      </c>
    </row>
    <row r="38" spans="1:14" x14ac:dyDescent="0.25">
      <c r="A38" s="15" t="s">
        <v>78</v>
      </c>
      <c r="B38" s="3">
        <v>284</v>
      </c>
      <c r="C38" s="3">
        <v>441</v>
      </c>
      <c r="D38" s="3">
        <v>398</v>
      </c>
      <c r="E38" s="3">
        <v>736</v>
      </c>
      <c r="F38" s="3">
        <v>465</v>
      </c>
      <c r="G38" s="59">
        <v>408</v>
      </c>
      <c r="H38" s="59">
        <v>292</v>
      </c>
      <c r="I38" s="59">
        <v>355</v>
      </c>
      <c r="J38" s="59">
        <v>453</v>
      </c>
      <c r="K38" s="59">
        <v>571</v>
      </c>
      <c r="L38" s="26">
        <v>1037</v>
      </c>
      <c r="M38" s="59">
        <v>1014</v>
      </c>
      <c r="N38" s="26">
        <v>1251</v>
      </c>
    </row>
    <row r="39" spans="1:14" x14ac:dyDescent="0.25">
      <c r="A39" s="15" t="s">
        <v>79</v>
      </c>
      <c r="B39" s="59">
        <f t="shared" ref="B39:H39" si="51">B41-B40-SUM(B32:B38)</f>
        <v>1606</v>
      </c>
      <c r="C39" s="59">
        <f t="shared" si="51"/>
        <v>1071</v>
      </c>
      <c r="D39" s="59">
        <f t="shared" si="51"/>
        <v>678</v>
      </c>
      <c r="E39" s="59">
        <f t="shared" si="51"/>
        <v>345</v>
      </c>
      <c r="F39" s="59">
        <f t="shared" si="51"/>
        <v>1024</v>
      </c>
      <c r="G39" s="59">
        <f t="shared" si="51"/>
        <v>129</v>
      </c>
      <c r="H39" s="59">
        <f t="shared" si="51"/>
        <v>461</v>
      </c>
      <c r="I39" s="59">
        <f t="shared" ref="I39:J39" si="52">I41-I40-SUM(I32:I38)</f>
        <v>633</v>
      </c>
      <c r="J39" s="59">
        <f t="shared" si="52"/>
        <v>917</v>
      </c>
      <c r="K39" s="59">
        <f t="shared" ref="K39" si="53">K41-K40-SUM(K32:K38)</f>
        <v>1457</v>
      </c>
      <c r="L39" s="26">
        <f t="shared" ref="L39" si="54">L41-L40-SUM(L32:L38)</f>
        <v>862</v>
      </c>
      <c r="M39" s="59">
        <f t="shared" ref="M39" si="55">M41-M40-SUM(M32:M38)</f>
        <v>982</v>
      </c>
      <c r="N39" s="26">
        <f t="shared" ref="N39" si="56">N41-N40-SUM(N32:N38)</f>
        <v>1397</v>
      </c>
    </row>
    <row r="40" spans="1:14" x14ac:dyDescent="0.25">
      <c r="A40" s="15" t="s">
        <v>71</v>
      </c>
      <c r="B40" s="59">
        <f t="shared" ref="B40:H40" si="57">B28</f>
        <v>1608</v>
      </c>
      <c r="C40" s="59">
        <f t="shared" si="57"/>
        <v>1280</v>
      </c>
      <c r="D40" s="59">
        <f t="shared" si="57"/>
        <v>1884</v>
      </c>
      <c r="E40" s="59">
        <f t="shared" si="57"/>
        <v>3518</v>
      </c>
      <c r="F40" s="59">
        <f t="shared" si="57"/>
        <v>4965</v>
      </c>
      <c r="G40" s="4">
        <f t="shared" si="57"/>
        <v>2477</v>
      </c>
      <c r="H40" s="4">
        <f t="shared" si="57"/>
        <v>2748</v>
      </c>
      <c r="I40" s="4">
        <f t="shared" ref="I40:J40" si="58">I28</f>
        <v>3328</v>
      </c>
      <c r="J40" s="4">
        <f t="shared" si="58"/>
        <v>3411</v>
      </c>
      <c r="K40" s="4">
        <f t="shared" ref="K40" si="59">K28</f>
        <v>3702</v>
      </c>
      <c r="L40" s="27">
        <f t="shared" ref="L40" si="60">L28</f>
        <v>4011</v>
      </c>
      <c r="M40" s="4">
        <f t="shared" ref="M40" si="61">M28</f>
        <v>8627</v>
      </c>
      <c r="N40" s="27">
        <f t="shared" ref="N40" si="62">N28</f>
        <v>5314</v>
      </c>
    </row>
    <row r="41" spans="1:14" x14ac:dyDescent="0.25">
      <c r="A41" s="18" t="s">
        <v>80</v>
      </c>
      <c r="B41" s="10">
        <f t="shared" ref="B41:H41" si="63">B23</f>
        <v>10161</v>
      </c>
      <c r="C41" s="10">
        <f t="shared" si="63"/>
        <v>13900</v>
      </c>
      <c r="D41" s="10">
        <f t="shared" si="63"/>
        <v>13374</v>
      </c>
      <c r="E41" s="10">
        <f t="shared" si="63"/>
        <v>20841</v>
      </c>
      <c r="F41" s="10">
        <f t="shared" si="63"/>
        <v>23227</v>
      </c>
      <c r="G41" s="10">
        <f t="shared" si="63"/>
        <v>26306</v>
      </c>
      <c r="H41" s="10">
        <f t="shared" si="63"/>
        <v>27091</v>
      </c>
      <c r="I41" s="10">
        <f t="shared" ref="I41:J41" si="64">I23</f>
        <v>38507</v>
      </c>
      <c r="J41" s="10">
        <f t="shared" si="64"/>
        <v>41390</v>
      </c>
      <c r="K41" s="10">
        <f t="shared" ref="K41" si="65">K23</f>
        <v>44277</v>
      </c>
      <c r="L41" s="28">
        <f t="shared" ref="L41" si="66">L23</f>
        <v>42484</v>
      </c>
      <c r="M41" s="10">
        <f t="shared" ref="M41" si="67">M23</f>
        <v>51502</v>
      </c>
      <c r="N41" s="28">
        <f t="shared" ref="N41" si="68">N23</f>
        <v>60215</v>
      </c>
    </row>
    <row r="42" spans="1:14" x14ac:dyDescent="0.25">
      <c r="A42" s="19" t="s">
        <v>81</v>
      </c>
      <c r="B42" s="5">
        <v>290</v>
      </c>
      <c r="C42" s="3">
        <v>418</v>
      </c>
      <c r="D42" s="3">
        <v>479</v>
      </c>
      <c r="E42" s="3">
        <v>1498</v>
      </c>
      <c r="F42" s="3">
        <v>734</v>
      </c>
      <c r="G42" s="59">
        <v>1118</v>
      </c>
      <c r="H42" s="59">
        <v>858</v>
      </c>
      <c r="I42" s="59">
        <v>210</v>
      </c>
      <c r="J42" s="59">
        <v>362</v>
      </c>
      <c r="K42" s="59">
        <v>260</v>
      </c>
      <c r="L42" s="26">
        <v>351</v>
      </c>
      <c r="M42" s="5">
        <f>110+270-M26</f>
        <v>236</v>
      </c>
      <c r="N42" s="76">
        <f>268+478-N26</f>
        <v>516</v>
      </c>
    </row>
    <row r="43" spans="1:14" x14ac:dyDescent="0.25">
      <c r="A43" s="19" t="s">
        <v>82</v>
      </c>
      <c r="B43" s="5">
        <v>715</v>
      </c>
      <c r="C43" s="3">
        <v>539</v>
      </c>
      <c r="D43" s="3">
        <v>638</v>
      </c>
      <c r="E43" s="3">
        <v>922</v>
      </c>
      <c r="F43" s="3">
        <v>937</v>
      </c>
      <c r="G43" s="59">
        <v>933</v>
      </c>
      <c r="H43" s="59">
        <v>895</v>
      </c>
      <c r="I43" s="59">
        <v>1061</v>
      </c>
      <c r="J43" s="59">
        <v>1088</v>
      </c>
      <c r="K43" s="59">
        <v>1281</v>
      </c>
      <c r="L43" s="26">
        <v>1151</v>
      </c>
      <c r="M43" s="5">
        <v>1265</v>
      </c>
      <c r="N43" s="26">
        <v>1283</v>
      </c>
    </row>
    <row r="44" spans="1:14" x14ac:dyDescent="0.25">
      <c r="A44" s="19" t="s">
        <v>83</v>
      </c>
      <c r="B44" s="5">
        <v>123</v>
      </c>
      <c r="C44" s="3">
        <v>239</v>
      </c>
      <c r="D44" s="3">
        <v>190</v>
      </c>
      <c r="E44" s="3">
        <v>578</v>
      </c>
      <c r="F44" s="3">
        <v>474</v>
      </c>
      <c r="G44" s="59">
        <v>223</v>
      </c>
      <c r="H44" s="59">
        <v>110</v>
      </c>
      <c r="I44" s="59">
        <v>513</v>
      </c>
      <c r="J44" s="59">
        <v>448</v>
      </c>
      <c r="K44" s="59">
        <v>411</v>
      </c>
      <c r="L44" s="26">
        <v>251</v>
      </c>
      <c r="M44" s="59">
        <v>102</v>
      </c>
      <c r="N44" s="26">
        <v>82</v>
      </c>
    </row>
    <row r="45" spans="1:14" x14ac:dyDescent="0.25">
      <c r="A45" s="19" t="s">
        <v>84</v>
      </c>
      <c r="B45" s="5">
        <f t="shared" ref="B45:H45" si="69">B41-SUM(B42:B44)-SUM(B24:B26)</f>
        <v>2481</v>
      </c>
      <c r="C45" s="5">
        <f t="shared" si="69"/>
        <v>3150</v>
      </c>
      <c r="D45" s="5">
        <f t="shared" si="69"/>
        <v>2822</v>
      </c>
      <c r="E45" s="5">
        <f t="shared" si="69"/>
        <v>3563</v>
      </c>
      <c r="F45" s="5">
        <f t="shared" si="69"/>
        <v>4314</v>
      </c>
      <c r="G45" s="5">
        <f t="shared" si="69"/>
        <v>4852</v>
      </c>
      <c r="H45" s="5">
        <f t="shared" si="69"/>
        <v>4848</v>
      </c>
      <c r="I45" s="5">
        <f t="shared" ref="I45" si="70">I41-SUM(I42:I44)-SUM(I24:I26)</f>
        <v>5951</v>
      </c>
      <c r="J45" s="5">
        <f t="shared" ref="J45" si="71">J41-SUM(J42:J44)-SUM(J24:J26)</f>
        <v>6558</v>
      </c>
      <c r="K45" s="5">
        <f t="shared" ref="K45" si="72">K41-SUM(K42:K44)-SUM(K24:K26)</f>
        <v>7494</v>
      </c>
      <c r="L45" s="76">
        <f t="shared" ref="L45" si="73">L41-SUM(L42:L44)-SUM(L24:L26)</f>
        <v>8487</v>
      </c>
      <c r="M45" s="5">
        <f t="shared" ref="M45" si="74">M41-SUM(M42:M44)-SUM(M24:M26)</f>
        <v>9547</v>
      </c>
      <c r="N45" s="76">
        <f t="shared" ref="N45" si="75">N41-SUM(N42:N44)-SUM(N24:N26)</f>
        <v>13614</v>
      </c>
    </row>
    <row r="46" spans="1:14" x14ac:dyDescent="0.25">
      <c r="A46" s="18" t="s">
        <v>70</v>
      </c>
      <c r="B46" s="10">
        <f>B41-SUM(B42:B45)</f>
        <v>6552</v>
      </c>
      <c r="C46" s="10">
        <f t="shared" ref="C46:J46" si="76">C41-SUM(C42:C45)</f>
        <v>9554</v>
      </c>
      <c r="D46" s="10">
        <f t="shared" si="76"/>
        <v>9245</v>
      </c>
      <c r="E46" s="10">
        <f t="shared" si="76"/>
        <v>14280</v>
      </c>
      <c r="F46" s="10">
        <f t="shared" si="76"/>
        <v>16768</v>
      </c>
      <c r="G46" s="10">
        <f t="shared" si="76"/>
        <v>19180</v>
      </c>
      <c r="H46" s="10">
        <f t="shared" si="76"/>
        <v>20380</v>
      </c>
      <c r="I46" s="10">
        <f t="shared" si="76"/>
        <v>30772</v>
      </c>
      <c r="J46" s="10">
        <f t="shared" si="76"/>
        <v>32934</v>
      </c>
      <c r="K46" s="10">
        <f t="shared" ref="K46" si="77">K41-SUM(K42:K45)</f>
        <v>34831</v>
      </c>
      <c r="L46" s="28">
        <f t="shared" ref="L46" si="78">L41-SUM(L42:L45)</f>
        <v>32244</v>
      </c>
      <c r="M46" s="10">
        <f t="shared" ref="M46" si="79">M41-SUM(M42:M45)</f>
        <v>40352</v>
      </c>
      <c r="N46" s="28">
        <f t="shared" ref="N46" si="80">N41-SUM(N42:N45)</f>
        <v>44720</v>
      </c>
    </row>
    <row r="47" spans="1:14" s="1" customFormat="1" x14ac:dyDescent="0.25">
      <c r="A47" s="18" t="s">
        <v>73</v>
      </c>
      <c r="B47" s="10">
        <f>SUM(B32:B39)-SUM(B42:B45)-B35</f>
        <v>4398</v>
      </c>
      <c r="C47" s="10">
        <f t="shared" ref="C47:I47" si="81">SUM(C32:C39)-SUM(C42:C45)-C35</f>
        <v>7906</v>
      </c>
      <c r="D47" s="10">
        <f t="shared" si="81"/>
        <v>6899</v>
      </c>
      <c r="E47" s="10">
        <f t="shared" si="81"/>
        <v>10056</v>
      </c>
      <c r="F47" s="10">
        <f t="shared" si="81"/>
        <v>10996</v>
      </c>
      <c r="G47" s="10">
        <f t="shared" si="81"/>
        <v>15744</v>
      </c>
      <c r="H47" s="10">
        <f t="shared" si="81"/>
        <v>16774</v>
      </c>
      <c r="I47" s="10">
        <f t="shared" si="81"/>
        <v>25745</v>
      </c>
      <c r="J47" s="10">
        <f t="shared" ref="J47" si="82">SUM(J32:J39)-SUM(J42:J45)-J35</f>
        <v>27905</v>
      </c>
      <c r="K47" s="10">
        <f t="shared" ref="K47" si="83">SUM(K32:K39)-SUM(K42:K45)-K35</f>
        <v>28647</v>
      </c>
      <c r="L47" s="28">
        <f t="shared" ref="L47" si="84">SUM(L32:L39)-SUM(L42:L45)-L35</f>
        <v>26088</v>
      </c>
      <c r="M47" s="10">
        <f t="shared" ref="M47" si="85">SUM(M32:M39)-SUM(M42:M45)-M35</f>
        <v>29741</v>
      </c>
      <c r="N47" s="28">
        <f t="shared" ref="N47" si="86">SUM(N32:N39)-SUM(N42:N45)-N35</f>
        <v>36773</v>
      </c>
    </row>
    <row r="48" spans="1:14" s="9" customFormat="1" ht="15" customHeight="1" x14ac:dyDescent="0.2">
      <c r="A48" s="7" t="s">
        <v>85</v>
      </c>
      <c r="B48" s="8">
        <f t="shared" ref="B48:H48" si="87">B30-B47</f>
        <v>0</v>
      </c>
      <c r="C48" s="8">
        <f t="shared" si="87"/>
        <v>0</v>
      </c>
      <c r="D48" s="8">
        <f t="shared" si="87"/>
        <v>0</v>
      </c>
      <c r="E48" s="8">
        <f t="shared" si="87"/>
        <v>0</v>
      </c>
      <c r="F48" s="8">
        <f t="shared" si="87"/>
        <v>0</v>
      </c>
      <c r="G48" s="80">
        <f t="shared" si="87"/>
        <v>0</v>
      </c>
      <c r="H48" s="89">
        <f t="shared" si="87"/>
        <v>0</v>
      </c>
      <c r="I48" s="89">
        <f t="shared" ref="I48:J48" si="88">I30-I47</f>
        <v>0</v>
      </c>
      <c r="J48" s="89">
        <f t="shared" si="88"/>
        <v>0</v>
      </c>
      <c r="K48" s="89">
        <f t="shared" ref="K48" si="89">K30-K47</f>
        <v>0</v>
      </c>
      <c r="L48" s="89">
        <f t="shared" ref="L48" si="90">L30-L47</f>
        <v>0</v>
      </c>
      <c r="M48" s="89">
        <f t="shared" ref="M48" si="91">M30-M47</f>
        <v>0</v>
      </c>
      <c r="N48" s="89">
        <f t="shared" ref="N48" si="92">N30-N47</f>
        <v>0</v>
      </c>
    </row>
    <row r="49" spans="1:14" s="9" customFormat="1" ht="15" customHeight="1" x14ac:dyDescent="0.2">
      <c r="A49" s="7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x14ac:dyDescent="0.25">
      <c r="A50" s="171"/>
      <c r="B50" s="81">
        <f t="shared" ref="B50:N50" si="93">B31</f>
        <v>39447</v>
      </c>
      <c r="C50" s="81">
        <f t="shared" si="93"/>
        <v>39813</v>
      </c>
      <c r="D50" s="81">
        <f t="shared" si="93"/>
        <v>40178</v>
      </c>
      <c r="E50" s="81">
        <f t="shared" si="93"/>
        <v>40543</v>
      </c>
      <c r="F50" s="81">
        <f t="shared" si="93"/>
        <v>40908</v>
      </c>
      <c r="G50" s="93">
        <f t="shared" si="93"/>
        <v>41274</v>
      </c>
      <c r="H50" s="81">
        <f t="shared" si="93"/>
        <v>41639</v>
      </c>
      <c r="I50" s="81">
        <f t="shared" si="93"/>
        <v>42004</v>
      </c>
      <c r="J50" s="93">
        <f t="shared" si="93"/>
        <v>42369</v>
      </c>
      <c r="K50" s="93">
        <f t="shared" si="93"/>
        <v>42735</v>
      </c>
      <c r="L50" s="81">
        <f t="shared" si="93"/>
        <v>43100</v>
      </c>
      <c r="M50" s="93">
        <f t="shared" si="93"/>
        <v>43465</v>
      </c>
      <c r="N50" s="81">
        <f t="shared" si="93"/>
        <v>43830</v>
      </c>
    </row>
    <row r="51" spans="1:14" x14ac:dyDescent="0.25">
      <c r="A51" s="85" t="s">
        <v>86</v>
      </c>
      <c r="B51" s="55">
        <f t="shared" ref="B51:N51" si="94">SUM(B32:B35)</f>
        <v>3693</v>
      </c>
      <c r="C51" s="56">
        <f t="shared" si="94"/>
        <v>7888</v>
      </c>
      <c r="D51" s="56">
        <f t="shared" si="94"/>
        <v>7721</v>
      </c>
      <c r="E51" s="56">
        <f t="shared" si="94"/>
        <v>12962</v>
      </c>
      <c r="F51" s="56">
        <f t="shared" si="94"/>
        <v>13093</v>
      </c>
      <c r="G51" s="56">
        <f t="shared" si="94"/>
        <v>19093</v>
      </c>
      <c r="H51" s="56">
        <f t="shared" si="94"/>
        <v>19322</v>
      </c>
      <c r="I51" s="56">
        <f t="shared" si="94"/>
        <v>29354</v>
      </c>
      <c r="J51" s="56">
        <f t="shared" si="94"/>
        <v>30779</v>
      </c>
      <c r="K51" s="56">
        <f t="shared" si="94"/>
        <v>32159</v>
      </c>
      <c r="L51" s="57">
        <f t="shared" si="94"/>
        <v>29353</v>
      </c>
      <c r="M51" s="56">
        <f t="shared" si="94"/>
        <v>32500</v>
      </c>
      <c r="N51" s="57">
        <f t="shared" si="94"/>
        <v>41782</v>
      </c>
    </row>
    <row r="52" spans="1:14" x14ac:dyDescent="0.25">
      <c r="A52" s="86" t="s">
        <v>87</v>
      </c>
      <c r="B52" s="58">
        <f t="shared" ref="B52:N52" si="95">B36+B37-B43</f>
        <v>2255</v>
      </c>
      <c r="C52" s="59">
        <f t="shared" si="95"/>
        <v>2681</v>
      </c>
      <c r="D52" s="59">
        <f t="shared" si="95"/>
        <v>2055</v>
      </c>
      <c r="E52" s="59">
        <f t="shared" si="95"/>
        <v>2358</v>
      </c>
      <c r="F52" s="59">
        <f t="shared" si="95"/>
        <v>2743</v>
      </c>
      <c r="G52" s="59">
        <f t="shared" si="95"/>
        <v>3266</v>
      </c>
      <c r="H52" s="59">
        <f t="shared" si="95"/>
        <v>3373</v>
      </c>
      <c r="I52" s="59">
        <f t="shared" si="95"/>
        <v>3776</v>
      </c>
      <c r="J52" s="59">
        <f t="shared" si="95"/>
        <v>4742</v>
      </c>
      <c r="K52" s="59">
        <f t="shared" si="95"/>
        <v>5107</v>
      </c>
      <c r="L52" s="26">
        <f t="shared" si="95"/>
        <v>6070</v>
      </c>
      <c r="M52" s="59">
        <f t="shared" si="95"/>
        <v>7114</v>
      </c>
      <c r="N52" s="26">
        <f t="shared" si="95"/>
        <v>9188</v>
      </c>
    </row>
    <row r="53" spans="1:14" x14ac:dyDescent="0.25">
      <c r="A53" s="86" t="s">
        <v>88</v>
      </c>
      <c r="B53" s="58">
        <f>B55-B51-B52-B54</f>
        <v>-1004</v>
      </c>
      <c r="C53" s="59">
        <f t="shared" ref="C53:J53" si="96">C55-C51-C52-C54</f>
        <v>-2295</v>
      </c>
      <c r="D53" s="59">
        <f t="shared" si="96"/>
        <v>-2415</v>
      </c>
      <c r="E53" s="59">
        <f t="shared" si="96"/>
        <v>-4558</v>
      </c>
      <c r="F53" s="59">
        <f t="shared" si="96"/>
        <v>-4033</v>
      </c>
      <c r="G53" s="59">
        <f t="shared" si="96"/>
        <v>-5656</v>
      </c>
      <c r="H53" s="59">
        <f t="shared" si="96"/>
        <v>-5063</v>
      </c>
      <c r="I53" s="59">
        <f t="shared" si="96"/>
        <v>-5686</v>
      </c>
      <c r="J53" s="59">
        <f t="shared" si="96"/>
        <v>-5998</v>
      </c>
      <c r="K53" s="59">
        <f t="shared" ref="K53" si="97">K55-K51-K52-K54</f>
        <v>-6137</v>
      </c>
      <c r="L53" s="26">
        <f t="shared" ref="L53" si="98">L55-L51-L52-L54</f>
        <v>-7190</v>
      </c>
      <c r="M53" s="59">
        <f t="shared" ref="M53" si="99">M55-M51-M52-M54</f>
        <v>-7889</v>
      </c>
      <c r="N53" s="26">
        <f t="shared" ref="N53" si="100">N55-N51-N52-N54</f>
        <v>-11564</v>
      </c>
    </row>
    <row r="54" spans="1:14" x14ac:dyDescent="0.25">
      <c r="A54" s="86" t="s">
        <v>71</v>
      </c>
      <c r="B54" s="58">
        <f t="shared" ref="B54:N54" si="101">B28</f>
        <v>1608</v>
      </c>
      <c r="C54" s="59">
        <f t="shared" si="101"/>
        <v>1280</v>
      </c>
      <c r="D54" s="59">
        <f t="shared" si="101"/>
        <v>1884</v>
      </c>
      <c r="E54" s="59">
        <f t="shared" si="101"/>
        <v>3518</v>
      </c>
      <c r="F54" s="59">
        <f t="shared" si="101"/>
        <v>4965</v>
      </c>
      <c r="G54" s="59">
        <f t="shared" si="101"/>
        <v>2477</v>
      </c>
      <c r="H54" s="59">
        <f t="shared" si="101"/>
        <v>2748</v>
      </c>
      <c r="I54" s="59">
        <f t="shared" si="101"/>
        <v>3328</v>
      </c>
      <c r="J54" s="59">
        <f t="shared" si="101"/>
        <v>3411</v>
      </c>
      <c r="K54" s="59">
        <f t="shared" si="101"/>
        <v>3702</v>
      </c>
      <c r="L54" s="26">
        <f t="shared" si="101"/>
        <v>4011</v>
      </c>
      <c r="M54" s="59">
        <f t="shared" si="101"/>
        <v>8627</v>
      </c>
      <c r="N54" s="26">
        <f t="shared" si="101"/>
        <v>5314</v>
      </c>
    </row>
    <row r="55" spans="1:14" x14ac:dyDescent="0.25">
      <c r="A55" s="18" t="s">
        <v>89</v>
      </c>
      <c r="B55" s="87">
        <f t="shared" ref="B55:N55" si="102">B27</f>
        <v>6552</v>
      </c>
      <c r="C55" s="10">
        <f t="shared" si="102"/>
        <v>9554</v>
      </c>
      <c r="D55" s="10">
        <f t="shared" si="102"/>
        <v>9245</v>
      </c>
      <c r="E55" s="10">
        <f t="shared" si="102"/>
        <v>14280</v>
      </c>
      <c r="F55" s="10">
        <f t="shared" si="102"/>
        <v>16768</v>
      </c>
      <c r="G55" s="10">
        <f t="shared" si="102"/>
        <v>19180</v>
      </c>
      <c r="H55" s="10">
        <f t="shared" si="102"/>
        <v>20380</v>
      </c>
      <c r="I55" s="10">
        <f t="shared" si="102"/>
        <v>30772</v>
      </c>
      <c r="J55" s="10">
        <f t="shared" si="102"/>
        <v>32934</v>
      </c>
      <c r="K55" s="10">
        <f t="shared" si="102"/>
        <v>34831</v>
      </c>
      <c r="L55" s="28">
        <f t="shared" si="102"/>
        <v>32244</v>
      </c>
      <c r="M55" s="10">
        <f t="shared" si="102"/>
        <v>40352</v>
      </c>
      <c r="N55" s="28">
        <f t="shared" si="102"/>
        <v>44720</v>
      </c>
    </row>
    <row r="56" spans="1:14" x14ac:dyDescent="0.25">
      <c r="A56" s="86" t="s">
        <v>67</v>
      </c>
      <c r="B56" s="58">
        <f t="shared" ref="B56:N56" si="103">B24</f>
        <v>6478</v>
      </c>
      <c r="C56" s="59">
        <f t="shared" si="103"/>
        <v>7171</v>
      </c>
      <c r="D56" s="59">
        <f t="shared" si="103"/>
        <v>8491</v>
      </c>
      <c r="E56" s="59">
        <f t="shared" si="103"/>
        <v>9824</v>
      </c>
      <c r="F56" s="59">
        <f t="shared" si="103"/>
        <v>12707</v>
      </c>
      <c r="G56" s="59">
        <f t="shared" si="103"/>
        <v>14133</v>
      </c>
      <c r="H56" s="59">
        <f t="shared" si="103"/>
        <v>16048</v>
      </c>
      <c r="I56" s="59">
        <f t="shared" si="103"/>
        <v>19598</v>
      </c>
      <c r="J56" s="59">
        <f t="shared" si="103"/>
        <v>23295</v>
      </c>
      <c r="K56" s="59">
        <f t="shared" si="103"/>
        <v>26397</v>
      </c>
      <c r="L56" s="26">
        <f t="shared" si="103"/>
        <v>25515</v>
      </c>
      <c r="M56" s="59">
        <f t="shared" si="103"/>
        <v>28877</v>
      </c>
      <c r="N56" s="26">
        <f t="shared" si="103"/>
        <v>30822</v>
      </c>
    </row>
    <row r="57" spans="1:14" x14ac:dyDescent="0.25">
      <c r="A57" s="86" t="s">
        <v>68</v>
      </c>
      <c r="B57" s="58">
        <f t="shared" ref="B57:N57" si="104">B25</f>
        <v>27</v>
      </c>
      <c r="C57" s="59">
        <f t="shared" si="104"/>
        <v>2321</v>
      </c>
      <c r="D57" s="59">
        <f t="shared" si="104"/>
        <v>703</v>
      </c>
      <c r="E57" s="59">
        <f t="shared" si="104"/>
        <v>4378</v>
      </c>
      <c r="F57" s="59">
        <f t="shared" si="104"/>
        <v>3965</v>
      </c>
      <c r="G57" s="59">
        <f t="shared" si="104"/>
        <v>4975</v>
      </c>
      <c r="H57" s="59">
        <f t="shared" si="104"/>
        <v>4268</v>
      </c>
      <c r="I57" s="59">
        <f t="shared" si="104"/>
        <v>11085</v>
      </c>
      <c r="J57" s="59">
        <f t="shared" si="104"/>
        <v>9522</v>
      </c>
      <c r="K57" s="59">
        <f t="shared" si="104"/>
        <v>8294</v>
      </c>
      <c r="L57" s="26">
        <f t="shared" si="104"/>
        <v>6595</v>
      </c>
      <c r="M57" s="59">
        <f t="shared" si="104"/>
        <v>11331</v>
      </c>
      <c r="N57" s="26">
        <f t="shared" si="104"/>
        <v>13668</v>
      </c>
    </row>
    <row r="58" spans="1:14" x14ac:dyDescent="0.25">
      <c r="A58" s="86" t="s">
        <v>69</v>
      </c>
      <c r="B58" s="58">
        <f t="shared" ref="B58:N58" si="105">B26</f>
        <v>47</v>
      </c>
      <c r="C58" s="59">
        <f t="shared" si="105"/>
        <v>62</v>
      </c>
      <c r="D58" s="59">
        <f t="shared" si="105"/>
        <v>51</v>
      </c>
      <c r="E58" s="59">
        <f t="shared" si="105"/>
        <v>78</v>
      </c>
      <c r="F58" s="59">
        <f t="shared" si="105"/>
        <v>96</v>
      </c>
      <c r="G58" s="59">
        <f t="shared" si="105"/>
        <v>72</v>
      </c>
      <c r="H58" s="59">
        <f t="shared" si="105"/>
        <v>64</v>
      </c>
      <c r="I58" s="59">
        <f t="shared" si="105"/>
        <v>89</v>
      </c>
      <c r="J58" s="59">
        <f t="shared" si="105"/>
        <v>117</v>
      </c>
      <c r="K58" s="59">
        <f t="shared" si="105"/>
        <v>140</v>
      </c>
      <c r="L58" s="26">
        <f t="shared" si="105"/>
        <v>134</v>
      </c>
      <c r="M58" s="59">
        <f t="shared" si="105"/>
        <v>144</v>
      </c>
      <c r="N58" s="26">
        <f t="shared" si="105"/>
        <v>230</v>
      </c>
    </row>
    <row r="59" spans="1:14" x14ac:dyDescent="0.25">
      <c r="A59" s="18" t="s">
        <v>89</v>
      </c>
      <c r="B59" s="87">
        <f>SUM(B56:B58)</f>
        <v>6552</v>
      </c>
      <c r="C59" s="10">
        <f t="shared" ref="C59:J59" si="106">SUM(C56:C58)</f>
        <v>9554</v>
      </c>
      <c r="D59" s="10">
        <f t="shared" si="106"/>
        <v>9245</v>
      </c>
      <c r="E59" s="10">
        <f t="shared" si="106"/>
        <v>14280</v>
      </c>
      <c r="F59" s="10">
        <f t="shared" si="106"/>
        <v>16768</v>
      </c>
      <c r="G59" s="10">
        <f t="shared" si="106"/>
        <v>19180</v>
      </c>
      <c r="H59" s="10">
        <f t="shared" si="106"/>
        <v>20380</v>
      </c>
      <c r="I59" s="10">
        <f t="shared" si="106"/>
        <v>30772</v>
      </c>
      <c r="J59" s="10">
        <f t="shared" si="106"/>
        <v>32934</v>
      </c>
      <c r="K59" s="10">
        <f t="shared" ref="K59" si="107">SUM(K56:K58)</f>
        <v>34831</v>
      </c>
      <c r="L59" s="28">
        <f t="shared" ref="L59" si="108">SUM(L56:L58)</f>
        <v>32244</v>
      </c>
      <c r="M59" s="10">
        <f t="shared" ref="M59" si="109">SUM(M56:M58)</f>
        <v>40352</v>
      </c>
      <c r="N59" s="28">
        <f t="shared" ref="N59" si="110">SUM(N56:N58)</f>
        <v>44720</v>
      </c>
    </row>
    <row r="60" spans="1:14" x14ac:dyDescent="0.25">
      <c r="A60" s="83"/>
      <c r="B60" s="84"/>
      <c r="C60" s="84"/>
      <c r="D60" s="84"/>
      <c r="E60" s="84"/>
      <c r="F60" s="84"/>
      <c r="G60" s="94"/>
      <c r="H60" s="84"/>
      <c r="I60" s="84"/>
      <c r="J60" s="94"/>
      <c r="K60" s="94"/>
      <c r="L60" s="84"/>
      <c r="M60" s="94"/>
      <c r="N60" s="84"/>
    </row>
    <row r="61" spans="1:14" x14ac:dyDescent="0.25">
      <c r="A61" s="23" t="s">
        <v>90</v>
      </c>
      <c r="B61" s="88">
        <f>B23-B27</f>
        <v>3609</v>
      </c>
      <c r="C61" s="21">
        <f t="shared" ref="C61:J61" si="111">C23-C27</f>
        <v>4346</v>
      </c>
      <c r="D61" s="21">
        <f t="shared" si="111"/>
        <v>4129</v>
      </c>
      <c r="E61" s="21">
        <f t="shared" si="111"/>
        <v>6561</v>
      </c>
      <c r="F61" s="21">
        <f t="shared" si="111"/>
        <v>6459</v>
      </c>
      <c r="G61" s="21">
        <f t="shared" si="111"/>
        <v>7126</v>
      </c>
      <c r="H61" s="21">
        <f t="shared" si="111"/>
        <v>6711</v>
      </c>
      <c r="I61" s="21">
        <f t="shared" si="111"/>
        <v>7735</v>
      </c>
      <c r="J61" s="21">
        <f t="shared" si="111"/>
        <v>8456</v>
      </c>
      <c r="K61" s="21">
        <f t="shared" ref="K61" si="112">K23-K27</f>
        <v>9446</v>
      </c>
      <c r="L61" s="22">
        <f t="shared" ref="L61" si="113">L23-L27</f>
        <v>10240</v>
      </c>
      <c r="M61" s="21">
        <f t="shared" ref="M61" si="114">M23-M27</f>
        <v>11150</v>
      </c>
      <c r="N61" s="22">
        <f t="shared" ref="N61" si="115">N23-N27</f>
        <v>15495</v>
      </c>
    </row>
    <row r="62" spans="1:14" x14ac:dyDescent="0.25">
      <c r="A62" s="82" t="s">
        <v>91</v>
      </c>
    </row>
  </sheetData>
  <pageMargins left="0.7" right="0.7" top="0.78740157499999996" bottom="0.78740157499999996" header="0.3" footer="0.3"/>
  <pageSetup paperSize="9" scale="54" orientation="landscape" r:id="rId1"/>
  <headerFooter>
    <oddFooter>&amp;L&amp;9DT &lt;&amp;F/&amp;A&gt; &amp;D &amp;T</oddFooter>
  </headerFooter>
  <ignoredErrors>
    <ignoredError sqref="B39 C39:I39 B45 C45:H45 H27 I31:I38 I40:I45 B51:I51 I27:I28 B27:G28 B30:I30 M27:N27 M30:N30 M45:N4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N62"/>
  <sheetViews>
    <sheetView zoomScaleNormal="100" workbookViewId="0"/>
  </sheetViews>
  <sheetFormatPr baseColWidth="10" defaultRowHeight="15" x14ac:dyDescent="0.25"/>
  <cols>
    <col min="1" max="1" width="27.42578125" customWidth="1"/>
    <col min="3" max="11" width="11.42578125" customWidth="1"/>
  </cols>
  <sheetData>
    <row r="1" spans="1:14" x14ac:dyDescent="0.25">
      <c r="A1" s="1" t="s">
        <v>47</v>
      </c>
      <c r="B1" s="2"/>
      <c r="C1" s="31">
        <v>2008</v>
      </c>
      <c r="D1" s="11">
        <v>2009</v>
      </c>
      <c r="E1" s="11">
        <v>2010</v>
      </c>
      <c r="F1" s="11">
        <v>2011</v>
      </c>
      <c r="G1" s="79">
        <v>2012</v>
      </c>
      <c r="H1" s="79">
        <v>2013</v>
      </c>
      <c r="I1" s="79">
        <v>2014</v>
      </c>
      <c r="J1" s="79">
        <v>2015</v>
      </c>
      <c r="K1" s="79">
        <v>2016</v>
      </c>
      <c r="L1" s="75">
        <v>2017</v>
      </c>
      <c r="M1" s="79">
        <v>2018</v>
      </c>
      <c r="N1" s="75">
        <v>2019</v>
      </c>
    </row>
    <row r="2" spans="1:14" x14ac:dyDescent="0.25">
      <c r="B2" s="17" t="s">
        <v>6</v>
      </c>
      <c r="C2" s="32">
        <f t="shared" ref="C2:N2" si="0">C20/B24</f>
        <v>0.1024909339516081</v>
      </c>
      <c r="D2" s="33">
        <f t="shared" si="0"/>
        <v>8.3170134638922893E-2</v>
      </c>
      <c r="E2" s="33">
        <f t="shared" si="0"/>
        <v>6.9125639807925701E-2</v>
      </c>
      <c r="F2" s="33">
        <f t="shared" si="0"/>
        <v>0.13071549534292973</v>
      </c>
      <c r="G2" s="33">
        <f t="shared" si="0"/>
        <v>0.12469513777178143</v>
      </c>
      <c r="H2" s="33">
        <f t="shared" si="0"/>
        <v>0.17157628305239916</v>
      </c>
      <c r="I2" s="33">
        <f t="shared" si="0"/>
        <v>0.16549701980388387</v>
      </c>
      <c r="J2" s="33">
        <f t="shared" si="0"/>
        <v>0.20269067167870214</v>
      </c>
      <c r="K2" s="33">
        <f t="shared" si="0"/>
        <v>0.18966398113578306</v>
      </c>
      <c r="L2" s="34">
        <f t="shared" si="0"/>
        <v>0.25375427156158886</v>
      </c>
      <c r="M2" s="33">
        <f t="shared" si="0"/>
        <v>4.641762296193809E-2</v>
      </c>
      <c r="N2" s="34">
        <f t="shared" si="0"/>
        <v>8.9061281095605446E-2</v>
      </c>
    </row>
    <row r="3" spans="1:14" x14ac:dyDescent="0.25">
      <c r="B3" s="17" t="s">
        <v>7</v>
      </c>
      <c r="C3" s="32">
        <f t="shared" ref="C3:K3" si="1">C20/C15</f>
        <v>5.2372562124065859E-2</v>
      </c>
      <c r="D3" s="33">
        <f t="shared" si="1"/>
        <v>4.3602412731006158E-2</v>
      </c>
      <c r="E3" s="33">
        <f t="shared" si="1"/>
        <v>3.7334701322389419E-2</v>
      </c>
      <c r="F3" s="33">
        <f t="shared" si="1"/>
        <v>6.7619360490582564E-2</v>
      </c>
      <c r="G3" s="33">
        <f t="shared" si="1"/>
        <v>6.0466520721672828E-2</v>
      </c>
      <c r="H3" s="33">
        <f t="shared" si="1"/>
        <v>7.9338596010658166E-2</v>
      </c>
      <c r="I3" s="33">
        <f t="shared" si="1"/>
        <v>8.328696872203005E-2</v>
      </c>
      <c r="J3" s="33">
        <f t="shared" si="1"/>
        <v>8.8922642942389066E-2</v>
      </c>
      <c r="K3" s="33">
        <f t="shared" si="1"/>
        <v>0.13811063732364137</v>
      </c>
      <c r="L3" s="34">
        <f t="shared" ref="L3" si="2">L20/L15</f>
        <v>0.23115807511066686</v>
      </c>
      <c r="M3" s="33">
        <f t="shared" ref="M3" si="3">M20/M15</f>
        <v>4.6567960372325946E-2</v>
      </c>
      <c r="N3" s="34">
        <f t="shared" ref="N3" si="4">N20/N15</f>
        <v>9.4385118842576651E-2</v>
      </c>
    </row>
    <row r="4" spans="1:14" x14ac:dyDescent="0.25">
      <c r="B4" s="15" t="s">
        <v>11</v>
      </c>
      <c r="C4" s="35">
        <f t="shared" ref="C4:N4" si="5">C15/((B27+C27)/2)</f>
        <v>0.86290238020341825</v>
      </c>
      <c r="D4" s="36">
        <f t="shared" si="5"/>
        <v>0.79944596916921029</v>
      </c>
      <c r="E4" s="36">
        <f t="shared" si="5"/>
        <v>0.91792128291323849</v>
      </c>
      <c r="F4" s="36">
        <f t="shared" si="5"/>
        <v>0.95058162229682253</v>
      </c>
      <c r="G4" s="36">
        <f t="shared" si="5"/>
        <v>1.0417857236479933</v>
      </c>
      <c r="H4" s="36">
        <f t="shared" si="5"/>
        <v>1.075485089117131</v>
      </c>
      <c r="I4" s="36">
        <f t="shared" si="5"/>
        <v>0.90341685151392637</v>
      </c>
      <c r="J4" s="36">
        <f t="shared" si="5"/>
        <v>0.83361973843677084</v>
      </c>
      <c r="K4" s="126">
        <f t="shared" si="5"/>
        <v>0.58794925292771572</v>
      </c>
      <c r="L4" s="127">
        <f t="shared" si="5"/>
        <v>0.57443544881101782</v>
      </c>
      <c r="M4" s="126">
        <f t="shared" si="5"/>
        <v>0.47238971959012072</v>
      </c>
      <c r="N4" s="127">
        <f t="shared" si="5"/>
        <v>0.45577052903712001</v>
      </c>
    </row>
    <row r="5" spans="1:14" x14ac:dyDescent="0.25">
      <c r="B5" s="16" t="s">
        <v>8</v>
      </c>
      <c r="C5" s="50">
        <f t="shared" ref="C5:N5" si="6">((B27+C27)/2)/B24</f>
        <v>2.2678794364187622</v>
      </c>
      <c r="D5" s="51">
        <f t="shared" si="6"/>
        <v>2.3859853121175032</v>
      </c>
      <c r="E5" s="51">
        <f t="shared" si="6"/>
        <v>2.0170703392960792</v>
      </c>
      <c r="F5" s="51">
        <f t="shared" si="6"/>
        <v>2.0336049957662996</v>
      </c>
      <c r="G5" s="51">
        <f t="shared" si="6"/>
        <v>1.979502879975092</v>
      </c>
      <c r="H5" s="51">
        <f t="shared" si="6"/>
        <v>2.0107975658355324</v>
      </c>
      <c r="I5" s="51">
        <f t="shared" si="6"/>
        <v>2.1995049029032878</v>
      </c>
      <c r="J5" s="51">
        <f t="shared" si="6"/>
        <v>2.7343456326046098</v>
      </c>
      <c r="K5" s="51">
        <f t="shared" si="6"/>
        <v>2.3357044606012969</v>
      </c>
      <c r="L5" s="52">
        <f t="shared" si="6"/>
        <v>1.9110104398532777</v>
      </c>
      <c r="M5" s="51">
        <f t="shared" si="6"/>
        <v>2.1100621252814626</v>
      </c>
      <c r="N5" s="52">
        <f t="shared" si="6"/>
        <v>2.0703280748894861</v>
      </c>
    </row>
    <row r="6" spans="1:14" s="9" customFormat="1" ht="11.25" x14ac:dyDescent="0.2">
      <c r="B6" s="29" t="s">
        <v>85</v>
      </c>
      <c r="C6" s="38">
        <f t="shared" ref="C6:K6" si="7">C3*C4*C5</f>
        <v>0.1024909339516081</v>
      </c>
      <c r="D6" s="39">
        <f t="shared" si="7"/>
        <v>8.3170134638922907E-2</v>
      </c>
      <c r="E6" s="39">
        <f t="shared" si="7"/>
        <v>6.9125639807925687E-2</v>
      </c>
      <c r="F6" s="39">
        <f t="shared" si="7"/>
        <v>0.1307154953429297</v>
      </c>
      <c r="G6" s="39">
        <f t="shared" si="7"/>
        <v>0.12469513777178141</v>
      </c>
      <c r="H6" s="39">
        <f t="shared" si="7"/>
        <v>0.17157628305239914</v>
      </c>
      <c r="I6" s="39">
        <f t="shared" si="7"/>
        <v>0.1654970198038839</v>
      </c>
      <c r="J6" s="39">
        <f t="shared" si="7"/>
        <v>0.20269067167870217</v>
      </c>
      <c r="K6" s="39">
        <f t="shared" si="7"/>
        <v>0.18966398113578309</v>
      </c>
      <c r="L6" s="40">
        <f t="shared" ref="L6" si="8">L3*L4*L5</f>
        <v>0.25375427156158881</v>
      </c>
      <c r="M6" s="39">
        <f t="shared" ref="M6" si="9">M3*M4*M5</f>
        <v>4.6417622961938083E-2</v>
      </c>
      <c r="N6" s="40">
        <f t="shared" ref="N6" si="10">N3*N4*N5</f>
        <v>8.906128109560546E-2</v>
      </c>
    </row>
    <row r="7" spans="1:14" x14ac:dyDescent="0.25">
      <c r="B7" s="20" t="s">
        <v>9</v>
      </c>
      <c r="C7" s="44">
        <f t="shared" ref="C7:N7" si="11">C17/((B30+C30)/2)</f>
        <v>0.10360603978775963</v>
      </c>
      <c r="D7" s="45">
        <f t="shared" si="11"/>
        <v>8.599259079141218E-2</v>
      </c>
      <c r="E7" s="45">
        <f t="shared" si="11"/>
        <v>8.0563056084281354E-2</v>
      </c>
      <c r="F7" s="45">
        <f t="shared" si="11"/>
        <v>0.12018597106151239</v>
      </c>
      <c r="G7" s="45">
        <f t="shared" si="11"/>
        <v>0.11297420115620237</v>
      </c>
      <c r="H7" s="45">
        <f t="shared" si="11"/>
        <v>0.14446754311480689</v>
      </c>
      <c r="I7" s="45">
        <f t="shared" si="11"/>
        <v>0.12654516454389791</v>
      </c>
      <c r="J7" s="45">
        <f t="shared" si="11"/>
        <v>0.11980496419864473</v>
      </c>
      <c r="K7" s="45">
        <f t="shared" si="11"/>
        <v>0.10255310402759533</v>
      </c>
      <c r="L7" s="46">
        <f t="shared" si="11"/>
        <v>0.1125184655706457</v>
      </c>
      <c r="M7" s="45">
        <f t="shared" si="11"/>
        <v>7.3784459673790367E-2</v>
      </c>
      <c r="N7" s="46">
        <f t="shared" si="11"/>
        <v>4.6788524581008704E-2</v>
      </c>
    </row>
    <row r="8" spans="1:14" x14ac:dyDescent="0.25">
      <c r="B8" s="17" t="s">
        <v>10</v>
      </c>
      <c r="C8" s="32">
        <f t="shared" ref="C8:K8" si="12">C17/C15</f>
        <v>0.107661461814205</v>
      </c>
      <c r="D8" s="33">
        <f t="shared" si="12"/>
        <v>9.6445071868583157E-2</v>
      </c>
      <c r="E8" s="33">
        <f t="shared" si="12"/>
        <v>7.7804377564979474E-2</v>
      </c>
      <c r="F8" s="33">
        <f t="shared" si="12"/>
        <v>0.11358409986859395</v>
      </c>
      <c r="G8" s="33">
        <f t="shared" si="12"/>
        <v>9.8839988928310807E-2</v>
      </c>
      <c r="H8" s="33">
        <f t="shared" si="12"/>
        <v>0.12286774410439026</v>
      </c>
      <c r="I8" s="33">
        <f t="shared" si="12"/>
        <v>0.13050630155543191</v>
      </c>
      <c r="J8" s="33">
        <f t="shared" si="12"/>
        <v>0.13542367364652272</v>
      </c>
      <c r="K8" s="33">
        <f t="shared" si="12"/>
        <v>0.16421028532180981</v>
      </c>
      <c r="L8" s="34">
        <f t="shared" ref="L8" si="13">L17/L15</f>
        <v>0.16858489218906184</v>
      </c>
      <c r="M8" s="33">
        <f t="shared" ref="M8" si="14">M17/M15</f>
        <v>0.13611126231560611</v>
      </c>
      <c r="N8" s="34">
        <f t="shared" ref="N8" si="15">N17/N15</f>
        <v>9.6199334022275804E-2</v>
      </c>
    </row>
    <row r="9" spans="1:14" x14ac:dyDescent="0.25">
      <c r="B9" s="16" t="s">
        <v>30</v>
      </c>
      <c r="C9" s="122">
        <f t="shared" ref="C9:N9" si="16">C15/((B30+C30)/2)</f>
        <v>0.96233172057942207</v>
      </c>
      <c r="D9" s="123">
        <f t="shared" si="16"/>
        <v>0.89162244503883403</v>
      </c>
      <c r="E9" s="123">
        <f t="shared" si="16"/>
        <v>1.03545659776017</v>
      </c>
      <c r="F9" s="123">
        <f t="shared" si="16"/>
        <v>1.0581231985863881</v>
      </c>
      <c r="G9" s="123">
        <f t="shared" si="16"/>
        <v>1.1430009491213438</v>
      </c>
      <c r="H9" s="123">
        <f t="shared" si="16"/>
        <v>1.1757971481275438</v>
      </c>
      <c r="I9" s="123">
        <f t="shared" si="16"/>
        <v>0.96964792531606969</v>
      </c>
      <c r="J9" s="124">
        <f t="shared" si="16"/>
        <v>0.88466780565527037</v>
      </c>
      <c r="K9" s="124">
        <f t="shared" si="16"/>
        <v>0.62452302440506513</v>
      </c>
      <c r="L9" s="125">
        <f t="shared" si="16"/>
        <v>0.66742911603526334</v>
      </c>
      <c r="M9" s="124">
        <f t="shared" si="16"/>
        <v>0.54208930560575996</v>
      </c>
      <c r="N9" s="125">
        <f t="shared" si="16"/>
        <v>0.48637056645500693</v>
      </c>
    </row>
    <row r="10" spans="1:14" s="9" customFormat="1" ht="11.25" x14ac:dyDescent="0.2">
      <c r="B10" s="30" t="s">
        <v>85</v>
      </c>
      <c r="C10" s="41">
        <f t="shared" ref="C10:K10" si="17">C8*C9</f>
        <v>0.10360603978775965</v>
      </c>
      <c r="D10" s="42">
        <f t="shared" si="17"/>
        <v>8.599259079141218E-2</v>
      </c>
      <c r="E10" s="42">
        <f t="shared" si="17"/>
        <v>8.056305608428134E-2</v>
      </c>
      <c r="F10" s="42">
        <f t="shared" si="17"/>
        <v>0.12018597106151238</v>
      </c>
      <c r="G10" s="42">
        <f t="shared" si="17"/>
        <v>0.11297420115620237</v>
      </c>
      <c r="H10" s="42">
        <f t="shared" si="17"/>
        <v>0.14446754311480689</v>
      </c>
      <c r="I10" s="42">
        <f t="shared" si="17"/>
        <v>0.12654516454389791</v>
      </c>
      <c r="J10" s="42">
        <f t="shared" si="17"/>
        <v>0.11980496419864473</v>
      </c>
      <c r="K10" s="42">
        <f t="shared" si="17"/>
        <v>0.10255310402759533</v>
      </c>
      <c r="L10" s="43">
        <f t="shared" ref="L10" si="18">L8*L9</f>
        <v>0.11251846557064571</v>
      </c>
      <c r="M10" s="42">
        <f t="shared" ref="M10" si="19">M8*M9</f>
        <v>7.3784459673790354E-2</v>
      </c>
      <c r="N10" s="43">
        <f t="shared" ref="N10" si="20">N8*N9</f>
        <v>4.6788524581008704E-2</v>
      </c>
    </row>
    <row r="11" spans="1:14" x14ac:dyDescent="0.25">
      <c r="B11" s="20" t="s">
        <v>28</v>
      </c>
      <c r="C11" s="44">
        <f t="shared" ref="C11:G11" si="21">(C19+C21)/((B27+C27)/2)</f>
        <v>8.6845968333857604E-2</v>
      </c>
      <c r="D11" s="45">
        <f t="shared" si="21"/>
        <v>6.8869110216225923E-2</v>
      </c>
      <c r="E11" s="45">
        <f t="shared" si="21"/>
        <v>6.3073079488822903E-2</v>
      </c>
      <c r="F11" s="45">
        <f t="shared" si="21"/>
        <v>8.7516589897728161E-2</v>
      </c>
      <c r="G11" s="45">
        <f t="shared" si="21"/>
        <v>8.3256874721472196E-2</v>
      </c>
      <c r="H11" s="45">
        <f t="shared" ref="H11:N11" si="22">(H19+H21)/((G27+H27)/2)</f>
        <v>0.12879467573684</v>
      </c>
      <c r="I11" s="45">
        <f t="shared" si="22"/>
        <v>0.10996863970628408</v>
      </c>
      <c r="J11" s="45">
        <f t="shared" si="22"/>
        <v>0.10831539532948646</v>
      </c>
      <c r="K11" s="45">
        <f t="shared" si="22"/>
        <v>9.1045228159913852E-2</v>
      </c>
      <c r="L11" s="46">
        <f t="shared" si="22"/>
        <v>8.6325270074070426E-2</v>
      </c>
      <c r="M11" s="45">
        <f t="shared" si="22"/>
        <v>4.2029339538950106E-2</v>
      </c>
      <c r="N11" s="46">
        <f t="shared" si="22"/>
        <v>4.6628951816749788E-2</v>
      </c>
    </row>
    <row r="12" spans="1:14" x14ac:dyDescent="0.25">
      <c r="B12" s="20" t="s">
        <v>29</v>
      </c>
      <c r="C12" s="44">
        <f t="shared" ref="C12:N12" si="23">C20/((B27+C27)/2)</f>
        <v>4.5192408514207826E-2</v>
      </c>
      <c r="D12" s="45">
        <f t="shared" si="23"/>
        <v>3.4857773103855134E-2</v>
      </c>
      <c r="E12" s="45">
        <f t="shared" si="23"/>
        <v>3.4270316935030277E-2</v>
      </c>
      <c r="F12" s="45">
        <f t="shared" si="23"/>
        <v>6.4277721393811646E-2</v>
      </c>
      <c r="G12" s="45">
        <f t="shared" si="23"/>
        <v>6.2993158046504308E-2</v>
      </c>
      <c r="H12" s="45">
        <f t="shared" si="23"/>
        <v>8.5327477000950766E-2</v>
      </c>
      <c r="I12" s="45">
        <f t="shared" si="23"/>
        <v>7.5242851054995244E-2</v>
      </c>
      <c r="J12" s="45">
        <f t="shared" si="23"/>
        <v>7.4127670350740735E-2</v>
      </c>
      <c r="K12" s="45">
        <f t="shared" si="23"/>
        <v>8.1202046035805622E-2</v>
      </c>
      <c r="L12" s="46">
        <f t="shared" si="23"/>
        <v>0.1327853926224869</v>
      </c>
      <c r="M12" s="45">
        <f t="shared" si="23"/>
        <v>2.1998225742166908E-2</v>
      </c>
      <c r="N12" s="46">
        <f t="shared" si="23"/>
        <v>4.3017955548112601E-2</v>
      </c>
    </row>
    <row r="13" spans="1:14" s="6" customFormat="1" x14ac:dyDescent="0.25">
      <c r="A13"/>
      <c r="B13"/>
      <c r="C13"/>
      <c r="D13"/>
      <c r="E13"/>
      <c r="F13"/>
      <c r="G13"/>
      <c r="H13"/>
      <c r="I13" s="2"/>
      <c r="J13" s="2"/>
      <c r="K13" s="2"/>
      <c r="L13" s="2"/>
      <c r="M13" s="2"/>
      <c r="N13" s="2"/>
    </row>
    <row r="14" spans="1:14" x14ac:dyDescent="0.25">
      <c r="A14" s="82" t="s">
        <v>63</v>
      </c>
      <c r="B14" s="31">
        <v>2007</v>
      </c>
      <c r="C14" s="11">
        <v>2008</v>
      </c>
      <c r="D14" s="11">
        <v>2009</v>
      </c>
      <c r="E14" s="11">
        <v>2010</v>
      </c>
      <c r="F14" s="11">
        <v>2011</v>
      </c>
      <c r="G14" s="79">
        <v>2012</v>
      </c>
      <c r="H14" s="79">
        <v>2013</v>
      </c>
      <c r="I14" s="79">
        <v>2014</v>
      </c>
      <c r="J14" s="79">
        <v>2015</v>
      </c>
      <c r="K14" s="79">
        <f>K1</f>
        <v>2016</v>
      </c>
      <c r="L14" s="75">
        <f>L1</f>
        <v>2017</v>
      </c>
      <c r="M14" s="79">
        <f>M1</f>
        <v>2018</v>
      </c>
      <c r="N14" s="75">
        <f>N1</f>
        <v>2019</v>
      </c>
    </row>
    <row r="15" spans="1:14" x14ac:dyDescent="0.25">
      <c r="A15" s="23" t="s">
        <v>64</v>
      </c>
      <c r="B15" s="24">
        <v>32385</v>
      </c>
      <c r="C15" s="24">
        <v>32918</v>
      </c>
      <c r="D15" s="24">
        <v>31168</v>
      </c>
      <c r="E15" s="24">
        <v>35088</v>
      </c>
      <c r="F15" s="24">
        <v>36528</v>
      </c>
      <c r="G15" s="24">
        <v>39741</v>
      </c>
      <c r="H15" s="24">
        <v>40157</v>
      </c>
      <c r="I15" s="24">
        <v>41339</v>
      </c>
      <c r="J15" s="24">
        <v>46085</v>
      </c>
      <c r="K15" s="24">
        <v>34943</v>
      </c>
      <c r="L15" s="25">
        <v>35015</v>
      </c>
      <c r="M15" s="133">
        <v>36742</v>
      </c>
      <c r="N15" s="110">
        <v>43545</v>
      </c>
    </row>
    <row r="16" spans="1:14" x14ac:dyDescent="0.25">
      <c r="A16" s="15" t="s">
        <v>0</v>
      </c>
      <c r="B16" s="3">
        <v>5866</v>
      </c>
      <c r="C16" s="3">
        <v>6266</v>
      </c>
      <c r="D16" s="3">
        <v>5815</v>
      </c>
      <c r="E16" s="3">
        <v>6286</v>
      </c>
      <c r="F16" s="3">
        <v>6918</v>
      </c>
      <c r="G16" s="59">
        <v>6916</v>
      </c>
      <c r="H16" s="56">
        <v>7830</v>
      </c>
      <c r="I16" s="56">
        <v>8315</v>
      </c>
      <c r="J16" s="56">
        <v>9573</v>
      </c>
      <c r="K16" s="56">
        <v>8801</v>
      </c>
      <c r="L16" s="57">
        <v>8563</v>
      </c>
      <c r="M16" s="137">
        <v>9695</v>
      </c>
      <c r="N16" s="111">
        <v>9554</v>
      </c>
    </row>
    <row r="17" spans="1:14" x14ac:dyDescent="0.25">
      <c r="A17" s="15" t="s">
        <v>1</v>
      </c>
      <c r="B17" s="5">
        <f t="shared" ref="B17:G17" si="24">B18</f>
        <v>3154</v>
      </c>
      <c r="C17" s="5">
        <f t="shared" si="24"/>
        <v>3544</v>
      </c>
      <c r="D17" s="5">
        <f t="shared" si="24"/>
        <v>3006</v>
      </c>
      <c r="E17" s="5">
        <f t="shared" si="24"/>
        <v>2730</v>
      </c>
      <c r="F17" s="5">
        <f t="shared" si="24"/>
        <v>4149</v>
      </c>
      <c r="G17" s="5">
        <f t="shared" si="24"/>
        <v>3928</v>
      </c>
      <c r="H17" s="5">
        <f t="shared" ref="H17:L17" si="25">H18</f>
        <v>4934</v>
      </c>
      <c r="I17" s="5">
        <f t="shared" si="25"/>
        <v>5395</v>
      </c>
      <c r="J17" s="5">
        <f t="shared" si="25"/>
        <v>6241</v>
      </c>
      <c r="K17" s="5">
        <f t="shared" si="25"/>
        <v>5738</v>
      </c>
      <c r="L17" s="76">
        <f t="shared" si="25"/>
        <v>5903</v>
      </c>
      <c r="M17" s="5">
        <f>M18+1547</f>
        <v>5001</v>
      </c>
      <c r="N17" s="76">
        <f>N18</f>
        <v>4189</v>
      </c>
    </row>
    <row r="18" spans="1:14" x14ac:dyDescent="0.25">
      <c r="A18" s="15" t="s">
        <v>2</v>
      </c>
      <c r="B18" s="3">
        <v>3154</v>
      </c>
      <c r="C18" s="3">
        <v>3544</v>
      </c>
      <c r="D18" s="3">
        <v>3006</v>
      </c>
      <c r="E18" s="3">
        <v>2730</v>
      </c>
      <c r="F18" s="3">
        <v>4149</v>
      </c>
      <c r="G18" s="59">
        <v>3928</v>
      </c>
      <c r="H18" s="5">
        <v>4934</v>
      </c>
      <c r="I18" s="5">
        <v>5395</v>
      </c>
      <c r="J18" s="5">
        <v>6241</v>
      </c>
      <c r="K18" s="5">
        <v>5738</v>
      </c>
      <c r="L18" s="76">
        <v>5903</v>
      </c>
      <c r="M18" s="168">
        <v>3454</v>
      </c>
      <c r="N18" s="128">
        <v>4189</v>
      </c>
    </row>
    <row r="19" spans="1:14" x14ac:dyDescent="0.25">
      <c r="A19" s="15" t="s">
        <v>3</v>
      </c>
      <c r="B19" s="3">
        <v>2234</v>
      </c>
      <c r="C19" s="3">
        <v>2365</v>
      </c>
      <c r="D19" s="3">
        <v>1870</v>
      </c>
      <c r="E19" s="3">
        <v>1721</v>
      </c>
      <c r="F19" s="3">
        <v>3363</v>
      </c>
      <c r="G19" s="59">
        <v>3176</v>
      </c>
      <c r="H19" s="59">
        <v>4207</v>
      </c>
      <c r="I19" s="59">
        <v>4414</v>
      </c>
      <c r="J19" s="59">
        <v>5236</v>
      </c>
      <c r="K19" s="59">
        <v>4773</v>
      </c>
      <c r="L19" s="26">
        <v>4577</v>
      </c>
      <c r="M19" s="168">
        <v>1886</v>
      </c>
      <c r="N19" s="128">
        <v>2880</v>
      </c>
    </row>
    <row r="20" spans="1:14" x14ac:dyDescent="0.25">
      <c r="A20" s="16" t="s">
        <v>4</v>
      </c>
      <c r="B20" s="4">
        <v>4716</v>
      </c>
      <c r="C20" s="4">
        <v>1724</v>
      </c>
      <c r="D20" s="4">
        <v>1359</v>
      </c>
      <c r="E20" s="4">
        <v>1310</v>
      </c>
      <c r="F20" s="4">
        <v>2470</v>
      </c>
      <c r="G20" s="4">
        <v>2403</v>
      </c>
      <c r="H20" s="4">
        <v>3186</v>
      </c>
      <c r="I20" s="4">
        <v>3443</v>
      </c>
      <c r="J20" s="4">
        <v>4098</v>
      </c>
      <c r="K20" s="4">
        <v>4826</v>
      </c>
      <c r="L20" s="27">
        <v>8094</v>
      </c>
      <c r="M20" s="169">
        <v>1711</v>
      </c>
      <c r="N20" s="129">
        <v>4110</v>
      </c>
    </row>
    <row r="21" spans="1:14" x14ac:dyDescent="0.25">
      <c r="A21" s="16" t="s">
        <v>65</v>
      </c>
      <c r="B21" s="4">
        <v>1320</v>
      </c>
      <c r="C21" s="4">
        <v>948</v>
      </c>
      <c r="D21" s="4">
        <v>815</v>
      </c>
      <c r="E21" s="4">
        <v>690</v>
      </c>
      <c r="F21" s="4"/>
      <c r="G21" s="4"/>
      <c r="H21" s="4">
        <v>602</v>
      </c>
      <c r="I21" s="4">
        <v>618</v>
      </c>
      <c r="J21" s="4">
        <v>752</v>
      </c>
      <c r="K21" s="4">
        <v>638</v>
      </c>
      <c r="L21" s="27">
        <v>685</v>
      </c>
      <c r="M21" s="136">
        <v>1383</v>
      </c>
      <c r="N21" s="109">
        <v>1575</v>
      </c>
    </row>
    <row r="22" spans="1:14" x14ac:dyDescent="0.25">
      <c r="A22" s="16"/>
      <c r="B22" s="13">
        <v>39447</v>
      </c>
      <c r="C22" s="13">
        <v>39813</v>
      </c>
      <c r="D22" s="13">
        <v>40178</v>
      </c>
      <c r="E22" s="13">
        <v>40543</v>
      </c>
      <c r="F22" s="13">
        <v>40908</v>
      </c>
      <c r="G22" s="13">
        <v>41274</v>
      </c>
      <c r="H22" s="13">
        <v>41639</v>
      </c>
      <c r="I22" s="13">
        <v>42004</v>
      </c>
      <c r="J22" s="13">
        <v>42369</v>
      </c>
      <c r="K22" s="13">
        <v>42735</v>
      </c>
      <c r="L22" s="14">
        <v>43100</v>
      </c>
      <c r="M22" s="13">
        <v>43465</v>
      </c>
      <c r="N22" s="14">
        <v>43830</v>
      </c>
    </row>
    <row r="23" spans="1:14" x14ac:dyDescent="0.25">
      <c r="A23" s="20" t="s">
        <v>66</v>
      </c>
      <c r="B23" s="21">
        <v>51378</v>
      </c>
      <c r="C23" s="21">
        <v>52511</v>
      </c>
      <c r="D23" s="21">
        <v>51042</v>
      </c>
      <c r="E23" s="21">
        <v>51506</v>
      </c>
      <c r="F23" s="21">
        <v>52765</v>
      </c>
      <c r="G23" s="21">
        <v>51336</v>
      </c>
      <c r="H23" s="21">
        <v>51317</v>
      </c>
      <c r="I23" s="21">
        <v>70234</v>
      </c>
      <c r="J23" s="21">
        <v>73917</v>
      </c>
      <c r="K23" s="21">
        <v>82238</v>
      </c>
      <c r="L23" s="22">
        <v>75087</v>
      </c>
      <c r="M23" s="21">
        <v>126258</v>
      </c>
      <c r="N23" s="22">
        <v>126732</v>
      </c>
    </row>
    <row r="24" spans="1:14" x14ac:dyDescent="0.25">
      <c r="A24" s="15" t="s">
        <v>67</v>
      </c>
      <c r="B24" s="3">
        <v>16821</v>
      </c>
      <c r="C24" s="3">
        <v>16340</v>
      </c>
      <c r="D24" s="3">
        <v>18951</v>
      </c>
      <c r="E24" s="3">
        <v>18896</v>
      </c>
      <c r="F24" s="3">
        <v>19271</v>
      </c>
      <c r="G24" s="59">
        <v>18569</v>
      </c>
      <c r="H24" s="59">
        <v>20804</v>
      </c>
      <c r="I24" s="59">
        <v>20218</v>
      </c>
      <c r="J24" s="59">
        <v>25445</v>
      </c>
      <c r="K24" s="59">
        <v>31897</v>
      </c>
      <c r="L24" s="26">
        <v>36861</v>
      </c>
      <c r="M24" s="59">
        <v>46148</v>
      </c>
      <c r="N24" s="26">
        <v>47517</v>
      </c>
    </row>
    <row r="25" spans="1:14" x14ac:dyDescent="0.25">
      <c r="A25" s="15" t="s">
        <v>68</v>
      </c>
      <c r="B25" s="3">
        <f>13081+1336</f>
        <v>14417</v>
      </c>
      <c r="C25" s="3">
        <f>10614+6256</f>
        <v>16870</v>
      </c>
      <c r="D25" s="3">
        <f>11460+1489</f>
        <v>12949</v>
      </c>
      <c r="E25" s="3">
        <f>9944+1889</f>
        <v>11833</v>
      </c>
      <c r="F25" s="3">
        <f>7995+3684</f>
        <v>11679</v>
      </c>
      <c r="G25" s="59">
        <f>6962+2570</f>
        <v>9532</v>
      </c>
      <c r="H25" s="59">
        <f>5590+3441</f>
        <v>9031</v>
      </c>
      <c r="I25" s="59">
        <f>18484+3376</f>
        <v>21860</v>
      </c>
      <c r="J25" s="59">
        <f>16513+3421</f>
        <v>19934</v>
      </c>
      <c r="K25" s="59">
        <f>16180+3401</f>
        <v>19581</v>
      </c>
      <c r="L25" s="26">
        <f>12483+1935</f>
        <v>14418</v>
      </c>
      <c r="M25" s="168">
        <f>37712+3682</f>
        <v>41394</v>
      </c>
      <c r="N25" s="128">
        <f>36912+2182</f>
        <v>39094</v>
      </c>
    </row>
    <row r="26" spans="1:14" s="1" customFormat="1" x14ac:dyDescent="0.25">
      <c r="A26" s="15" t="s">
        <v>69</v>
      </c>
      <c r="B26" s="3">
        <v>5501</v>
      </c>
      <c r="C26" s="3">
        <v>6347</v>
      </c>
      <c r="D26" s="3">
        <v>6517</v>
      </c>
      <c r="E26" s="3">
        <v>7305</v>
      </c>
      <c r="F26" s="3">
        <v>7870</v>
      </c>
      <c r="G26" s="59">
        <v>9373</v>
      </c>
      <c r="H26" s="59">
        <v>7368</v>
      </c>
      <c r="I26" s="59">
        <v>12236</v>
      </c>
      <c r="J26" s="59">
        <v>10873</v>
      </c>
      <c r="K26" s="59">
        <v>11134</v>
      </c>
      <c r="L26" s="26">
        <v>8020</v>
      </c>
      <c r="M26" s="59">
        <v>8717</v>
      </c>
      <c r="N26" s="26">
        <v>8213</v>
      </c>
    </row>
    <row r="27" spans="1:14" x14ac:dyDescent="0.25">
      <c r="A27" s="18" t="s">
        <v>70</v>
      </c>
      <c r="B27" s="10">
        <f t="shared" ref="B27:K27" si="26">SUM(B24:B26)</f>
        <v>36739</v>
      </c>
      <c r="C27" s="10">
        <f t="shared" si="26"/>
        <v>39557</v>
      </c>
      <c r="D27" s="10">
        <f t="shared" si="26"/>
        <v>38417</v>
      </c>
      <c r="E27" s="10">
        <f t="shared" si="26"/>
        <v>38034</v>
      </c>
      <c r="F27" s="10">
        <f t="shared" si="26"/>
        <v>38820</v>
      </c>
      <c r="G27" s="10">
        <f t="shared" si="26"/>
        <v>37474</v>
      </c>
      <c r="H27" s="10">
        <f t="shared" si="26"/>
        <v>37203</v>
      </c>
      <c r="I27" s="10">
        <f t="shared" si="26"/>
        <v>54314</v>
      </c>
      <c r="J27" s="10">
        <f t="shared" si="26"/>
        <v>56252</v>
      </c>
      <c r="K27" s="10">
        <f t="shared" si="26"/>
        <v>62612</v>
      </c>
      <c r="L27" s="28">
        <f t="shared" ref="L27" si="27">SUM(L24:L26)</f>
        <v>59299</v>
      </c>
      <c r="M27" s="10">
        <f t="shared" ref="M27" si="28">SUM(M24:M26)</f>
        <v>96259</v>
      </c>
      <c r="N27" s="28">
        <f t="shared" ref="N27" si="29">SUM(N24:N26)</f>
        <v>94824</v>
      </c>
    </row>
    <row r="28" spans="1:14" x14ac:dyDescent="0.25">
      <c r="A28" s="15" t="s">
        <v>71</v>
      </c>
      <c r="B28" s="3">
        <v>2531</v>
      </c>
      <c r="C28" s="3">
        <v>2094</v>
      </c>
      <c r="D28" s="3">
        <v>2725</v>
      </c>
      <c r="E28" s="3">
        <v>2840</v>
      </c>
      <c r="F28" s="3">
        <v>1770</v>
      </c>
      <c r="G28" s="59">
        <v>1695</v>
      </c>
      <c r="H28" s="59">
        <v>1662</v>
      </c>
      <c r="I28" s="59">
        <v>1853</v>
      </c>
      <c r="J28" s="59">
        <v>1859</v>
      </c>
      <c r="K28" s="59">
        <v>1899</v>
      </c>
      <c r="L28" s="26">
        <v>7581</v>
      </c>
      <c r="M28" s="59">
        <v>4052</v>
      </c>
      <c r="N28" s="26">
        <v>3185</v>
      </c>
    </row>
    <row r="29" spans="1:14" x14ac:dyDescent="0.25">
      <c r="A29" s="15" t="s">
        <v>72</v>
      </c>
      <c r="B29" s="3">
        <f t="shared" ref="B29:K29" si="30">B35</f>
        <v>1611</v>
      </c>
      <c r="C29" s="3">
        <f t="shared" si="30"/>
        <v>1647</v>
      </c>
      <c r="D29" s="3">
        <f t="shared" si="30"/>
        <v>1595</v>
      </c>
      <c r="E29" s="3">
        <f t="shared" si="30"/>
        <v>1518</v>
      </c>
      <c r="F29" s="3">
        <f t="shared" si="30"/>
        <v>1683</v>
      </c>
      <c r="G29" s="59">
        <f t="shared" si="30"/>
        <v>1608</v>
      </c>
      <c r="H29" s="59">
        <f t="shared" si="30"/>
        <v>1406</v>
      </c>
      <c r="I29" s="59">
        <f t="shared" si="30"/>
        <v>1330</v>
      </c>
      <c r="J29" s="59">
        <f t="shared" si="30"/>
        <v>1338</v>
      </c>
      <c r="K29" s="59">
        <f t="shared" si="30"/>
        <v>1865</v>
      </c>
      <c r="L29" s="26">
        <f t="shared" ref="L29" si="31">L35</f>
        <v>5641</v>
      </c>
      <c r="M29" s="59">
        <f t="shared" ref="M29" si="32">M35</f>
        <v>2727</v>
      </c>
      <c r="N29" s="26">
        <f t="shared" ref="N29" si="33">N35</f>
        <v>2058</v>
      </c>
    </row>
    <row r="30" spans="1:14" x14ac:dyDescent="0.25">
      <c r="A30" s="18" t="s">
        <v>73</v>
      </c>
      <c r="B30" s="10">
        <f>SUM(B24:B26)-B28-B29</f>
        <v>32597</v>
      </c>
      <c r="C30" s="10">
        <f>SUM(C24:C26)-C28-C29</f>
        <v>35816</v>
      </c>
      <c r="D30" s="10">
        <f t="shared" ref="D30:I30" si="34">SUM(D24:D26)-D28-D29</f>
        <v>34097</v>
      </c>
      <c r="E30" s="10">
        <f t="shared" si="34"/>
        <v>33676</v>
      </c>
      <c r="F30" s="10">
        <f t="shared" si="34"/>
        <v>35367</v>
      </c>
      <c r="G30" s="10">
        <f t="shared" si="34"/>
        <v>34171</v>
      </c>
      <c r="H30" s="10">
        <f t="shared" si="34"/>
        <v>34135</v>
      </c>
      <c r="I30" s="10">
        <f t="shared" si="34"/>
        <v>51131</v>
      </c>
      <c r="J30" s="10">
        <f t="shared" ref="J30" si="35">SUM(J24:J26)-J28-J29</f>
        <v>53055</v>
      </c>
      <c r="K30" s="10">
        <f t="shared" ref="K30" si="36">SUM(K24:K26)-K28-K29</f>
        <v>58848</v>
      </c>
      <c r="L30" s="28">
        <f t="shared" ref="L30" si="37">SUM(L24:L26)-L28-L29</f>
        <v>46077</v>
      </c>
      <c r="M30" s="10">
        <f t="shared" ref="M30" si="38">SUM(M24:M26)-M28-M29</f>
        <v>89480</v>
      </c>
      <c r="N30" s="28">
        <f t="shared" ref="N30" si="39">SUM(N24:N26)-N28-N29</f>
        <v>89581</v>
      </c>
    </row>
    <row r="31" spans="1:14" x14ac:dyDescent="0.25">
      <c r="B31" s="13">
        <v>39447</v>
      </c>
      <c r="C31" s="13">
        <v>39813</v>
      </c>
      <c r="D31" s="13">
        <v>40178</v>
      </c>
      <c r="E31" s="13">
        <v>40543</v>
      </c>
      <c r="F31" s="13">
        <v>40908</v>
      </c>
      <c r="G31" s="13">
        <v>41274</v>
      </c>
      <c r="H31" s="13">
        <v>41639</v>
      </c>
      <c r="I31" s="13">
        <v>42004</v>
      </c>
      <c r="J31" s="13">
        <v>42369</v>
      </c>
      <c r="K31" s="13">
        <f>K22</f>
        <v>42735</v>
      </c>
      <c r="L31" s="14">
        <f>L22</f>
        <v>43100</v>
      </c>
      <c r="M31" s="13">
        <f>M22</f>
        <v>43465</v>
      </c>
      <c r="N31" s="14">
        <f>N22</f>
        <v>43830</v>
      </c>
    </row>
    <row r="32" spans="1:14" x14ac:dyDescent="0.25">
      <c r="A32" s="17" t="s">
        <v>74</v>
      </c>
      <c r="B32" s="3">
        <v>14555</v>
      </c>
      <c r="C32" s="3">
        <v>13951</v>
      </c>
      <c r="D32" s="3">
        <v>12842</v>
      </c>
      <c r="E32" s="3">
        <v>11161</v>
      </c>
      <c r="F32" s="3">
        <v>10295</v>
      </c>
      <c r="G32" s="59">
        <v>9464</v>
      </c>
      <c r="H32" s="59">
        <v>8914</v>
      </c>
      <c r="I32" s="59">
        <v>15653</v>
      </c>
      <c r="J32" s="59">
        <v>15178</v>
      </c>
      <c r="K32" s="59">
        <v>13567</v>
      </c>
      <c r="L32" s="26">
        <v>11674</v>
      </c>
      <c r="M32" s="59">
        <v>36696</v>
      </c>
      <c r="N32" s="26">
        <v>34709</v>
      </c>
    </row>
    <row r="33" spans="1:14" x14ac:dyDescent="0.25">
      <c r="A33" s="15" t="s">
        <v>5</v>
      </c>
      <c r="B33" s="3">
        <v>8215</v>
      </c>
      <c r="C33" s="3">
        <v>8674</v>
      </c>
      <c r="D33" s="3">
        <v>8704</v>
      </c>
      <c r="E33" s="3">
        <v>9002</v>
      </c>
      <c r="F33" s="3">
        <v>9160</v>
      </c>
      <c r="G33" s="59">
        <v>9293</v>
      </c>
      <c r="H33" s="59">
        <v>9862</v>
      </c>
      <c r="I33" s="59">
        <v>15347</v>
      </c>
      <c r="J33" s="59">
        <v>16096</v>
      </c>
      <c r="K33" s="59">
        <v>16312</v>
      </c>
      <c r="L33" s="26">
        <v>14751</v>
      </c>
      <c r="M33" s="168">
        <v>38442</v>
      </c>
      <c r="N33" s="128">
        <v>39126</v>
      </c>
    </row>
    <row r="34" spans="1:14" x14ac:dyDescent="0.25">
      <c r="A34" s="15" t="s">
        <v>75</v>
      </c>
      <c r="B34" s="3">
        <v>8819</v>
      </c>
      <c r="C34" s="3">
        <v>9492</v>
      </c>
      <c r="D34" s="3">
        <v>9409</v>
      </c>
      <c r="E34" s="3">
        <v>9835</v>
      </c>
      <c r="F34" s="3">
        <v>9823</v>
      </c>
      <c r="G34" s="59">
        <v>9863</v>
      </c>
      <c r="H34" s="59">
        <v>10015</v>
      </c>
      <c r="I34" s="59">
        <v>11428</v>
      </c>
      <c r="J34" s="59">
        <v>12375</v>
      </c>
      <c r="K34" s="59">
        <v>13114</v>
      </c>
      <c r="L34" s="26">
        <v>7633</v>
      </c>
      <c r="M34" s="59">
        <v>12943</v>
      </c>
      <c r="N34" s="26">
        <v>12479</v>
      </c>
    </row>
    <row r="35" spans="1:14" x14ac:dyDescent="0.25">
      <c r="A35" s="15" t="s">
        <v>72</v>
      </c>
      <c r="B35" s="3">
        <f>484+1127</f>
        <v>1611</v>
      </c>
      <c r="C35" s="3">
        <f>450+1197</f>
        <v>1647</v>
      </c>
      <c r="D35" s="3">
        <f>395+1200</f>
        <v>1595</v>
      </c>
      <c r="E35" s="3">
        <f>354+1164</f>
        <v>1518</v>
      </c>
      <c r="F35" s="3">
        <f>319+1364</f>
        <v>1683</v>
      </c>
      <c r="G35" s="59">
        <f>284+1324</f>
        <v>1608</v>
      </c>
      <c r="H35" s="59">
        <f>203+1203</f>
        <v>1406</v>
      </c>
      <c r="I35" s="59">
        <f>223+1107</f>
        <v>1330</v>
      </c>
      <c r="J35" s="59">
        <f>246+1092</f>
        <v>1338</v>
      </c>
      <c r="K35" s="59">
        <f>584+1281</f>
        <v>1865</v>
      </c>
      <c r="L35" s="26">
        <f>4007+1634</f>
        <v>5641</v>
      </c>
      <c r="M35" s="59">
        <f>515+2212</f>
        <v>2727</v>
      </c>
      <c r="N35" s="26">
        <f>522+1536</f>
        <v>2058</v>
      </c>
    </row>
    <row r="36" spans="1:14" x14ac:dyDescent="0.25">
      <c r="A36" s="15" t="s">
        <v>76</v>
      </c>
      <c r="B36" s="3">
        <v>6217</v>
      </c>
      <c r="C36" s="3">
        <v>6681</v>
      </c>
      <c r="D36" s="3">
        <v>6091</v>
      </c>
      <c r="E36" s="3">
        <v>6104</v>
      </c>
      <c r="F36" s="3">
        <v>6368</v>
      </c>
      <c r="G36" s="59">
        <v>6980</v>
      </c>
      <c r="H36" s="59">
        <v>7129</v>
      </c>
      <c r="I36" s="59">
        <v>8478</v>
      </c>
      <c r="J36" s="59">
        <v>8550</v>
      </c>
      <c r="K36" s="59">
        <v>8408</v>
      </c>
      <c r="L36" s="26">
        <v>6550</v>
      </c>
      <c r="M36" s="91">
        <v>11132</v>
      </c>
      <c r="N36" s="90">
        <v>10770</v>
      </c>
    </row>
    <row r="37" spans="1:14" x14ac:dyDescent="0.25">
      <c r="A37" s="15" t="s">
        <v>77</v>
      </c>
      <c r="B37" s="3">
        <v>5830</v>
      </c>
      <c r="C37" s="3">
        <v>5953</v>
      </c>
      <c r="D37" s="3">
        <v>6106</v>
      </c>
      <c r="E37" s="3">
        <v>6668</v>
      </c>
      <c r="F37" s="3">
        <v>7061</v>
      </c>
      <c r="G37" s="59">
        <v>7431</v>
      </c>
      <c r="H37" s="59">
        <v>7569</v>
      </c>
      <c r="I37" s="59">
        <v>9097</v>
      </c>
      <c r="J37" s="59">
        <v>9933</v>
      </c>
      <c r="K37" s="59">
        <v>10969</v>
      </c>
      <c r="L37" s="26">
        <v>8582</v>
      </c>
      <c r="M37" s="91">
        <v>11714</v>
      </c>
      <c r="N37" s="90">
        <v>11678</v>
      </c>
    </row>
    <row r="38" spans="1:14" x14ac:dyDescent="0.25">
      <c r="A38" s="15" t="s">
        <v>78</v>
      </c>
      <c r="B38" s="3">
        <v>845</v>
      </c>
      <c r="C38" s="3">
        <v>1156</v>
      </c>
      <c r="D38" s="3">
        <v>950</v>
      </c>
      <c r="E38" s="3">
        <v>1174</v>
      </c>
      <c r="F38" s="3">
        <v>1311</v>
      </c>
      <c r="G38" s="59">
        <v>1581</v>
      </c>
      <c r="H38" s="59">
        <v>1596</v>
      </c>
      <c r="I38" s="59">
        <v>3802</v>
      </c>
      <c r="J38" s="59">
        <v>4679</v>
      </c>
      <c r="K38" s="59">
        <v>6350</v>
      </c>
      <c r="L38" s="26">
        <v>4915</v>
      </c>
      <c r="M38" s="59">
        <v>4333</v>
      </c>
      <c r="N38" s="26">
        <v>4576</v>
      </c>
    </row>
    <row r="39" spans="1:14" x14ac:dyDescent="0.25">
      <c r="A39" s="15" t="s">
        <v>79</v>
      </c>
      <c r="B39" s="59">
        <f t="shared" ref="B39:I39" si="40">B41-B40-SUM(B32:B38)</f>
        <v>2755</v>
      </c>
      <c r="C39" s="59">
        <f t="shared" si="40"/>
        <v>2863</v>
      </c>
      <c r="D39" s="59">
        <f t="shared" si="40"/>
        <v>2620</v>
      </c>
      <c r="E39" s="59">
        <f t="shared" si="40"/>
        <v>3204</v>
      </c>
      <c r="F39" s="59">
        <f t="shared" si="40"/>
        <v>5294</v>
      </c>
      <c r="G39" s="59">
        <f t="shared" si="40"/>
        <v>3421</v>
      </c>
      <c r="H39" s="59">
        <f t="shared" si="40"/>
        <v>3164</v>
      </c>
      <c r="I39" s="59">
        <f t="shared" si="40"/>
        <v>3246</v>
      </c>
      <c r="J39" s="59">
        <f t="shared" ref="J39:K39" si="41">J41-J40-SUM(J32:J38)</f>
        <v>3909</v>
      </c>
      <c r="K39" s="59">
        <f t="shared" si="41"/>
        <v>9754</v>
      </c>
      <c r="L39" s="26">
        <f t="shared" ref="L39" si="42">L41-L40-SUM(L32:L38)</f>
        <v>7760</v>
      </c>
      <c r="M39" s="59">
        <f t="shared" ref="M39" si="43">M41-M40-SUM(M32:M38)</f>
        <v>4219</v>
      </c>
      <c r="N39" s="26">
        <f t="shared" ref="N39" si="44">N41-N40-SUM(N32:N38)</f>
        <v>8151</v>
      </c>
    </row>
    <row r="40" spans="1:14" x14ac:dyDescent="0.25">
      <c r="A40" s="15" t="s">
        <v>71</v>
      </c>
      <c r="B40" s="59">
        <f t="shared" ref="B40:K40" si="45">B28</f>
        <v>2531</v>
      </c>
      <c r="C40" s="59">
        <f t="shared" si="45"/>
        <v>2094</v>
      </c>
      <c r="D40" s="59">
        <f t="shared" si="45"/>
        <v>2725</v>
      </c>
      <c r="E40" s="59">
        <f t="shared" si="45"/>
        <v>2840</v>
      </c>
      <c r="F40" s="59">
        <f t="shared" si="45"/>
        <v>1770</v>
      </c>
      <c r="G40" s="4">
        <f t="shared" si="45"/>
        <v>1695</v>
      </c>
      <c r="H40" s="4">
        <f t="shared" si="45"/>
        <v>1662</v>
      </c>
      <c r="I40" s="4">
        <f t="shared" si="45"/>
        <v>1853</v>
      </c>
      <c r="J40" s="4">
        <f t="shared" si="45"/>
        <v>1859</v>
      </c>
      <c r="K40" s="4">
        <f t="shared" si="45"/>
        <v>1899</v>
      </c>
      <c r="L40" s="27">
        <f t="shared" ref="L40" si="46">L28</f>
        <v>7581</v>
      </c>
      <c r="M40" s="4">
        <f t="shared" ref="M40" si="47">M28</f>
        <v>4052</v>
      </c>
      <c r="N40" s="27">
        <f t="shared" ref="N40" si="48">N28</f>
        <v>3185</v>
      </c>
    </row>
    <row r="41" spans="1:14" x14ac:dyDescent="0.25">
      <c r="A41" s="18" t="s">
        <v>80</v>
      </c>
      <c r="B41" s="10">
        <f t="shared" ref="B41:K41" si="49">B23</f>
        <v>51378</v>
      </c>
      <c r="C41" s="10">
        <f t="shared" si="49"/>
        <v>52511</v>
      </c>
      <c r="D41" s="10">
        <f t="shared" si="49"/>
        <v>51042</v>
      </c>
      <c r="E41" s="10">
        <f t="shared" si="49"/>
        <v>51506</v>
      </c>
      <c r="F41" s="10">
        <f t="shared" si="49"/>
        <v>52765</v>
      </c>
      <c r="G41" s="10">
        <f t="shared" si="49"/>
        <v>51336</v>
      </c>
      <c r="H41" s="10">
        <f t="shared" si="49"/>
        <v>51317</v>
      </c>
      <c r="I41" s="10">
        <f t="shared" si="49"/>
        <v>70234</v>
      </c>
      <c r="J41" s="10">
        <f t="shared" si="49"/>
        <v>73917</v>
      </c>
      <c r="K41" s="10">
        <f t="shared" si="49"/>
        <v>82238</v>
      </c>
      <c r="L41" s="28">
        <f t="shared" ref="L41" si="50">L23</f>
        <v>75087</v>
      </c>
      <c r="M41" s="10">
        <f t="shared" ref="M41" si="51">M23</f>
        <v>126258</v>
      </c>
      <c r="N41" s="28">
        <f t="shared" ref="N41" si="52">N23</f>
        <v>126732</v>
      </c>
    </row>
    <row r="42" spans="1:14" s="1" customFormat="1" x14ac:dyDescent="0.25">
      <c r="A42" s="19" t="s">
        <v>81</v>
      </c>
      <c r="B42" s="5">
        <f>1166+3754</f>
        <v>4920</v>
      </c>
      <c r="C42" s="3">
        <f>1351+3163</f>
        <v>4514</v>
      </c>
      <c r="D42" s="3">
        <f>1516+3089</f>
        <v>4605</v>
      </c>
      <c r="E42" s="3">
        <f>1478+3870</f>
        <v>5348</v>
      </c>
      <c r="F42" s="3">
        <f>1649+4218</f>
        <v>5867</v>
      </c>
      <c r="G42" s="59">
        <f>1986+4844</f>
        <v>6830</v>
      </c>
      <c r="H42" s="59">
        <f>1977+4727</f>
        <v>6704</v>
      </c>
      <c r="I42" s="59">
        <f>1593+4530</f>
        <v>6123</v>
      </c>
      <c r="J42" s="59">
        <f>1740+5045</f>
        <v>6785</v>
      </c>
      <c r="K42" s="59">
        <f>1780+5421</f>
        <v>7201</v>
      </c>
      <c r="L42" s="26">
        <f>1366+4344</f>
        <v>5710</v>
      </c>
      <c r="M42" s="59">
        <f>3418+3365</f>
        <v>6783</v>
      </c>
      <c r="N42" s="26">
        <f>3766+3251</f>
        <v>7017</v>
      </c>
    </row>
    <row r="43" spans="1:14" s="9" customFormat="1" x14ac:dyDescent="0.25">
      <c r="A43" s="19" t="s">
        <v>82</v>
      </c>
      <c r="B43" s="5">
        <v>2466</v>
      </c>
      <c r="C43" s="3">
        <v>2377</v>
      </c>
      <c r="D43" s="3">
        <v>2735</v>
      </c>
      <c r="E43" s="3">
        <v>3497</v>
      </c>
      <c r="F43" s="3">
        <v>3779</v>
      </c>
      <c r="G43" s="59">
        <v>4295</v>
      </c>
      <c r="H43" s="59">
        <v>4473</v>
      </c>
      <c r="I43" s="59">
        <v>5363</v>
      </c>
      <c r="J43" s="59">
        <v>5945</v>
      </c>
      <c r="K43" s="59">
        <v>6410</v>
      </c>
      <c r="L43" s="26">
        <v>5129</v>
      </c>
      <c r="M43" s="59">
        <v>6038</v>
      </c>
      <c r="N43" s="26">
        <v>6426</v>
      </c>
    </row>
    <row r="44" spans="1:14" s="9" customFormat="1" x14ac:dyDescent="0.25">
      <c r="A44" s="19" t="s">
        <v>83</v>
      </c>
      <c r="B44" s="5">
        <v>3866</v>
      </c>
      <c r="C44" s="3">
        <v>3592</v>
      </c>
      <c r="D44" s="3">
        <v>3210</v>
      </c>
      <c r="E44" s="3">
        <v>2577</v>
      </c>
      <c r="F44" s="3">
        <v>2116</v>
      </c>
      <c r="G44" s="59">
        <v>938</v>
      </c>
      <c r="H44" s="59">
        <v>1193</v>
      </c>
      <c r="I44" s="59">
        <v>689</v>
      </c>
      <c r="J44" s="59">
        <v>826</v>
      </c>
      <c r="K44" s="59">
        <v>1330</v>
      </c>
      <c r="L44" s="26">
        <v>1153</v>
      </c>
      <c r="M44" s="91">
        <v>4667</v>
      </c>
      <c r="N44" s="90">
        <v>3755</v>
      </c>
    </row>
    <row r="45" spans="1:14" x14ac:dyDescent="0.25">
      <c r="A45" s="19" t="s">
        <v>84</v>
      </c>
      <c r="B45" s="5">
        <f t="shared" ref="B45:I45" si="53">B41-SUM(B42:B44)-SUM(B24:B26)</f>
        <v>3387</v>
      </c>
      <c r="C45" s="5">
        <f t="shared" si="53"/>
        <v>2471</v>
      </c>
      <c r="D45" s="5">
        <f t="shared" si="53"/>
        <v>2075</v>
      </c>
      <c r="E45" s="5">
        <f t="shared" si="53"/>
        <v>2050</v>
      </c>
      <c r="F45" s="5">
        <f t="shared" si="53"/>
        <v>2183</v>
      </c>
      <c r="G45" s="5">
        <f t="shared" si="53"/>
        <v>1799</v>
      </c>
      <c r="H45" s="5">
        <f>H41-SUM(H42:H44)-SUM(H24:H26)</f>
        <v>1744</v>
      </c>
      <c r="I45" s="5">
        <f t="shared" si="53"/>
        <v>3745</v>
      </c>
      <c r="J45" s="5">
        <f t="shared" ref="J45" si="54">J41-SUM(J42:J44)-SUM(J24:J26)</f>
        <v>4109</v>
      </c>
      <c r="K45" s="5">
        <f t="shared" ref="K45" si="55">K41-SUM(K42:K44)-SUM(K24:K26)</f>
        <v>4685</v>
      </c>
      <c r="L45" s="76">
        <f t="shared" ref="L45" si="56">L41-SUM(L42:L44)-SUM(L24:L26)</f>
        <v>3796</v>
      </c>
      <c r="M45" s="91">
        <f t="shared" ref="M45" si="57">M41-SUM(M42:M44)-SUM(M24:M26)</f>
        <v>12511</v>
      </c>
      <c r="N45" s="90">
        <f t="shared" ref="N45" si="58">N41-SUM(N42:N44)-SUM(N24:N26)</f>
        <v>14710</v>
      </c>
    </row>
    <row r="46" spans="1:14" x14ac:dyDescent="0.25">
      <c r="A46" s="18" t="s">
        <v>70</v>
      </c>
      <c r="B46" s="10">
        <f>B41-SUM(B42:B45)</f>
        <v>36739</v>
      </c>
      <c r="C46" s="10">
        <f t="shared" ref="C46:K46" si="59">C41-SUM(C42:C45)</f>
        <v>39557</v>
      </c>
      <c r="D46" s="10">
        <f t="shared" si="59"/>
        <v>38417</v>
      </c>
      <c r="E46" s="10">
        <f t="shared" si="59"/>
        <v>38034</v>
      </c>
      <c r="F46" s="10">
        <f t="shared" si="59"/>
        <v>38820</v>
      </c>
      <c r="G46" s="10">
        <f t="shared" si="59"/>
        <v>37474</v>
      </c>
      <c r="H46" s="10">
        <f t="shared" si="59"/>
        <v>37203</v>
      </c>
      <c r="I46" s="10">
        <f t="shared" si="59"/>
        <v>54314</v>
      </c>
      <c r="J46" s="10">
        <f t="shared" si="59"/>
        <v>56252</v>
      </c>
      <c r="K46" s="10">
        <f t="shared" si="59"/>
        <v>62612</v>
      </c>
      <c r="L46" s="28">
        <f t="shared" ref="L46" si="60">L41-SUM(L42:L45)</f>
        <v>59299</v>
      </c>
      <c r="M46" s="10">
        <f t="shared" ref="M46" si="61">M41-SUM(M42:M45)</f>
        <v>96259</v>
      </c>
      <c r="N46" s="28">
        <f t="shared" ref="N46" si="62">N41-SUM(N42:N45)</f>
        <v>94824</v>
      </c>
    </row>
    <row r="47" spans="1:14" x14ac:dyDescent="0.25">
      <c r="A47" s="18" t="s">
        <v>73</v>
      </c>
      <c r="B47" s="10">
        <f>SUM(B32:B39)-SUM(B42:B45)-B35</f>
        <v>32597</v>
      </c>
      <c r="C47" s="10">
        <f t="shared" ref="C47:I47" si="63">SUM(C32:C39)-SUM(C42:C45)-C35</f>
        <v>35816</v>
      </c>
      <c r="D47" s="10">
        <f t="shared" si="63"/>
        <v>34097</v>
      </c>
      <c r="E47" s="10">
        <f t="shared" si="63"/>
        <v>33676</v>
      </c>
      <c r="F47" s="10">
        <f t="shared" si="63"/>
        <v>35367</v>
      </c>
      <c r="G47" s="10">
        <f t="shared" si="63"/>
        <v>34171</v>
      </c>
      <c r="H47" s="10">
        <f t="shared" si="63"/>
        <v>34135</v>
      </c>
      <c r="I47" s="10">
        <f t="shared" si="63"/>
        <v>51131</v>
      </c>
      <c r="J47" s="10">
        <f t="shared" ref="J47" si="64">SUM(J32:J39)-SUM(J42:J45)-J35</f>
        <v>53055</v>
      </c>
      <c r="K47" s="10">
        <f t="shared" ref="K47" si="65">SUM(K32:K39)-SUM(K42:K45)-K35</f>
        <v>58848</v>
      </c>
      <c r="L47" s="28">
        <f t="shared" ref="L47" si="66">SUM(L32:L39)-SUM(L42:L45)-L35</f>
        <v>46077</v>
      </c>
      <c r="M47" s="10">
        <f t="shared" ref="M47" si="67">SUM(M32:M39)-SUM(M42:M45)-M35</f>
        <v>89480</v>
      </c>
      <c r="N47" s="28">
        <f t="shared" ref="N47" si="68">SUM(N32:N39)-SUM(N42:N45)-N35</f>
        <v>89581</v>
      </c>
    </row>
    <row r="48" spans="1:14" s="1" customFormat="1" x14ac:dyDescent="0.25">
      <c r="A48" s="7" t="s">
        <v>85</v>
      </c>
      <c r="B48" s="8">
        <f t="shared" ref="B48:K48" si="69">B30-B47</f>
        <v>0</v>
      </c>
      <c r="C48" s="8">
        <f t="shared" si="69"/>
        <v>0</v>
      </c>
      <c r="D48" s="8">
        <f t="shared" si="69"/>
        <v>0</v>
      </c>
      <c r="E48" s="8">
        <f t="shared" si="69"/>
        <v>0</v>
      </c>
      <c r="F48" s="8">
        <f t="shared" si="69"/>
        <v>0</v>
      </c>
      <c r="G48" s="80">
        <f t="shared" si="69"/>
        <v>0</v>
      </c>
      <c r="H48" s="89">
        <f t="shared" si="69"/>
        <v>0</v>
      </c>
      <c r="I48" s="89">
        <f t="shared" si="69"/>
        <v>0</v>
      </c>
      <c r="J48" s="89">
        <f t="shared" si="69"/>
        <v>0</v>
      </c>
      <c r="K48" s="89">
        <f t="shared" si="69"/>
        <v>0</v>
      </c>
      <c r="L48" s="89">
        <f t="shared" ref="L48" si="70">L30-L47</f>
        <v>0</v>
      </c>
      <c r="M48" s="89">
        <f t="shared" ref="M48" si="71">M30-M47</f>
        <v>0</v>
      </c>
      <c r="N48" s="89">
        <f t="shared" ref="N48" si="72">N30-N47</f>
        <v>0</v>
      </c>
    </row>
    <row r="49" spans="1:14" x14ac:dyDescent="0.25">
      <c r="A49" s="7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x14ac:dyDescent="0.25">
      <c r="A50" s="171"/>
      <c r="B50" s="81">
        <f t="shared" ref="B50:J50" si="73">B31</f>
        <v>39447</v>
      </c>
      <c r="C50" s="81">
        <f t="shared" si="73"/>
        <v>39813</v>
      </c>
      <c r="D50" s="81">
        <f t="shared" si="73"/>
        <v>40178</v>
      </c>
      <c r="E50" s="81">
        <f t="shared" si="73"/>
        <v>40543</v>
      </c>
      <c r="F50" s="81">
        <f t="shared" si="73"/>
        <v>40908</v>
      </c>
      <c r="G50" s="81">
        <f t="shared" si="73"/>
        <v>41274</v>
      </c>
      <c r="H50" s="81">
        <f t="shared" si="73"/>
        <v>41639</v>
      </c>
      <c r="I50" s="81">
        <f t="shared" si="73"/>
        <v>42004</v>
      </c>
      <c r="J50" s="81">
        <f t="shared" si="73"/>
        <v>42369</v>
      </c>
      <c r="K50" s="93">
        <f>K22</f>
        <v>42735</v>
      </c>
      <c r="L50" s="81">
        <f>L22</f>
        <v>43100</v>
      </c>
      <c r="M50" s="93">
        <f>M22</f>
        <v>43465</v>
      </c>
      <c r="N50" s="81">
        <f>N22</f>
        <v>43830</v>
      </c>
    </row>
    <row r="51" spans="1:14" x14ac:dyDescent="0.25">
      <c r="A51" s="85" t="s">
        <v>86</v>
      </c>
      <c r="B51" s="55">
        <f t="shared" ref="B51:N51" si="74">SUM(B32:B35)</f>
        <v>33200</v>
      </c>
      <c r="C51" s="56">
        <f t="shared" si="74"/>
        <v>33764</v>
      </c>
      <c r="D51" s="56">
        <f t="shared" si="74"/>
        <v>32550</v>
      </c>
      <c r="E51" s="56">
        <f t="shared" si="74"/>
        <v>31516</v>
      </c>
      <c r="F51" s="56">
        <f t="shared" si="74"/>
        <v>30961</v>
      </c>
      <c r="G51" s="56">
        <f t="shared" si="74"/>
        <v>30228</v>
      </c>
      <c r="H51" s="56">
        <f t="shared" si="74"/>
        <v>30197</v>
      </c>
      <c r="I51" s="56">
        <f t="shared" si="74"/>
        <v>43758</v>
      </c>
      <c r="J51" s="56">
        <f t="shared" si="74"/>
        <v>44987</v>
      </c>
      <c r="K51" s="56">
        <f t="shared" si="74"/>
        <v>44858</v>
      </c>
      <c r="L51" s="57">
        <f t="shared" si="74"/>
        <v>39699</v>
      </c>
      <c r="M51" s="56">
        <f t="shared" si="74"/>
        <v>90808</v>
      </c>
      <c r="N51" s="57">
        <f t="shared" si="74"/>
        <v>88372</v>
      </c>
    </row>
    <row r="52" spans="1:14" x14ac:dyDescent="0.25">
      <c r="A52" s="86" t="s">
        <v>87</v>
      </c>
      <c r="B52" s="58">
        <f t="shared" ref="B52:N52" si="75">B36+B37-B43</f>
        <v>9581</v>
      </c>
      <c r="C52" s="59">
        <f t="shared" si="75"/>
        <v>10257</v>
      </c>
      <c r="D52" s="59">
        <f t="shared" si="75"/>
        <v>9462</v>
      </c>
      <c r="E52" s="59">
        <f t="shared" si="75"/>
        <v>9275</v>
      </c>
      <c r="F52" s="59">
        <f t="shared" si="75"/>
        <v>9650</v>
      </c>
      <c r="G52" s="59">
        <f t="shared" si="75"/>
        <v>10116</v>
      </c>
      <c r="H52" s="59">
        <f t="shared" si="75"/>
        <v>10225</v>
      </c>
      <c r="I52" s="59">
        <f t="shared" si="75"/>
        <v>12212</v>
      </c>
      <c r="J52" s="59">
        <f t="shared" si="75"/>
        <v>12538</v>
      </c>
      <c r="K52" s="59">
        <f t="shared" si="75"/>
        <v>12967</v>
      </c>
      <c r="L52" s="26">
        <f t="shared" si="75"/>
        <v>10003</v>
      </c>
      <c r="M52" s="59">
        <f t="shared" si="75"/>
        <v>16808</v>
      </c>
      <c r="N52" s="26">
        <f t="shared" si="75"/>
        <v>16022</v>
      </c>
    </row>
    <row r="53" spans="1:14" x14ac:dyDescent="0.25">
      <c r="A53" s="86" t="s">
        <v>88</v>
      </c>
      <c r="B53" s="58">
        <f>B55-B51-B52-B54</f>
        <v>-8573</v>
      </c>
      <c r="C53" s="59">
        <f t="shared" ref="C53:K53" si="76">C55-C51-C52-C54</f>
        <v>-6558</v>
      </c>
      <c r="D53" s="59">
        <f t="shared" si="76"/>
        <v>-6320</v>
      </c>
      <c r="E53" s="59">
        <f t="shared" si="76"/>
        <v>-5597</v>
      </c>
      <c r="F53" s="59">
        <f t="shared" si="76"/>
        <v>-3561</v>
      </c>
      <c r="G53" s="59">
        <f t="shared" si="76"/>
        <v>-4565</v>
      </c>
      <c r="H53" s="59">
        <f t="shared" si="76"/>
        <v>-4881</v>
      </c>
      <c r="I53" s="59">
        <f t="shared" si="76"/>
        <v>-3509</v>
      </c>
      <c r="J53" s="59">
        <f t="shared" si="76"/>
        <v>-3132</v>
      </c>
      <c r="K53" s="59">
        <f t="shared" si="76"/>
        <v>2888</v>
      </c>
      <c r="L53" s="26">
        <f t="shared" ref="L53" si="77">L55-L51-L52-L54</f>
        <v>2016</v>
      </c>
      <c r="M53" s="170">
        <f t="shared" ref="M53" si="78">M55-M51-M52-M54</f>
        <v>-15409</v>
      </c>
      <c r="N53" s="130">
        <f t="shared" ref="N53" si="79">N55-N51-N52-N54</f>
        <v>-12755</v>
      </c>
    </row>
    <row r="54" spans="1:14" x14ac:dyDescent="0.25">
      <c r="A54" s="86" t="s">
        <v>71</v>
      </c>
      <c r="B54" s="58">
        <f t="shared" ref="B54:N54" si="80">B28</f>
        <v>2531</v>
      </c>
      <c r="C54" s="59">
        <f t="shared" si="80"/>
        <v>2094</v>
      </c>
      <c r="D54" s="59">
        <f t="shared" si="80"/>
        <v>2725</v>
      </c>
      <c r="E54" s="59">
        <f t="shared" si="80"/>
        <v>2840</v>
      </c>
      <c r="F54" s="59">
        <f t="shared" si="80"/>
        <v>1770</v>
      </c>
      <c r="G54" s="59">
        <f t="shared" si="80"/>
        <v>1695</v>
      </c>
      <c r="H54" s="59">
        <f t="shared" si="80"/>
        <v>1662</v>
      </c>
      <c r="I54" s="59">
        <f t="shared" si="80"/>
        <v>1853</v>
      </c>
      <c r="J54" s="59">
        <f t="shared" si="80"/>
        <v>1859</v>
      </c>
      <c r="K54" s="59">
        <f t="shared" si="80"/>
        <v>1899</v>
      </c>
      <c r="L54" s="26">
        <f t="shared" si="80"/>
        <v>7581</v>
      </c>
      <c r="M54" s="59">
        <f t="shared" si="80"/>
        <v>4052</v>
      </c>
      <c r="N54" s="26">
        <f t="shared" si="80"/>
        <v>3185</v>
      </c>
    </row>
    <row r="55" spans="1:14" x14ac:dyDescent="0.25">
      <c r="A55" s="18" t="s">
        <v>89</v>
      </c>
      <c r="B55" s="87">
        <f t="shared" ref="B55:N55" si="81">B27</f>
        <v>36739</v>
      </c>
      <c r="C55" s="10">
        <f t="shared" si="81"/>
        <v>39557</v>
      </c>
      <c r="D55" s="10">
        <f t="shared" si="81"/>
        <v>38417</v>
      </c>
      <c r="E55" s="10">
        <f t="shared" si="81"/>
        <v>38034</v>
      </c>
      <c r="F55" s="10">
        <f t="shared" si="81"/>
        <v>38820</v>
      </c>
      <c r="G55" s="10">
        <f t="shared" si="81"/>
        <v>37474</v>
      </c>
      <c r="H55" s="10">
        <f t="shared" si="81"/>
        <v>37203</v>
      </c>
      <c r="I55" s="10">
        <f t="shared" si="81"/>
        <v>54314</v>
      </c>
      <c r="J55" s="10">
        <f t="shared" si="81"/>
        <v>56252</v>
      </c>
      <c r="K55" s="10">
        <f t="shared" si="81"/>
        <v>62612</v>
      </c>
      <c r="L55" s="28">
        <f t="shared" si="81"/>
        <v>59299</v>
      </c>
      <c r="M55" s="10">
        <f t="shared" si="81"/>
        <v>96259</v>
      </c>
      <c r="N55" s="28">
        <f t="shared" si="81"/>
        <v>94824</v>
      </c>
    </row>
    <row r="56" spans="1:14" x14ac:dyDescent="0.25">
      <c r="A56" s="86" t="s">
        <v>67</v>
      </c>
      <c r="B56" s="58">
        <f t="shared" ref="B56:N56" si="82">B24</f>
        <v>16821</v>
      </c>
      <c r="C56" s="59">
        <f t="shared" si="82"/>
        <v>16340</v>
      </c>
      <c r="D56" s="59">
        <f t="shared" si="82"/>
        <v>18951</v>
      </c>
      <c r="E56" s="59">
        <f t="shared" si="82"/>
        <v>18896</v>
      </c>
      <c r="F56" s="59">
        <f t="shared" si="82"/>
        <v>19271</v>
      </c>
      <c r="G56" s="59">
        <f t="shared" si="82"/>
        <v>18569</v>
      </c>
      <c r="H56" s="59">
        <f t="shared" si="82"/>
        <v>20804</v>
      </c>
      <c r="I56" s="59">
        <f t="shared" si="82"/>
        <v>20218</v>
      </c>
      <c r="J56" s="59">
        <f t="shared" si="82"/>
        <v>25445</v>
      </c>
      <c r="K56" s="59">
        <f t="shared" si="82"/>
        <v>31897</v>
      </c>
      <c r="L56" s="26">
        <f t="shared" si="82"/>
        <v>36861</v>
      </c>
      <c r="M56" s="59">
        <f t="shared" si="82"/>
        <v>46148</v>
      </c>
      <c r="N56" s="26">
        <f t="shared" si="82"/>
        <v>47517</v>
      </c>
    </row>
    <row r="57" spans="1:14" x14ac:dyDescent="0.25">
      <c r="A57" s="86" t="s">
        <v>68</v>
      </c>
      <c r="B57" s="58">
        <f t="shared" ref="B57:N57" si="83">B25</f>
        <v>14417</v>
      </c>
      <c r="C57" s="59">
        <f t="shared" si="83"/>
        <v>16870</v>
      </c>
      <c r="D57" s="59">
        <f t="shared" si="83"/>
        <v>12949</v>
      </c>
      <c r="E57" s="59">
        <f t="shared" si="83"/>
        <v>11833</v>
      </c>
      <c r="F57" s="59">
        <f t="shared" si="83"/>
        <v>11679</v>
      </c>
      <c r="G57" s="59">
        <f t="shared" si="83"/>
        <v>9532</v>
      </c>
      <c r="H57" s="59">
        <f t="shared" si="83"/>
        <v>9031</v>
      </c>
      <c r="I57" s="59">
        <f t="shared" si="83"/>
        <v>21860</v>
      </c>
      <c r="J57" s="59">
        <f t="shared" si="83"/>
        <v>19934</v>
      </c>
      <c r="K57" s="59">
        <f t="shared" si="83"/>
        <v>19581</v>
      </c>
      <c r="L57" s="26">
        <f t="shared" si="83"/>
        <v>14418</v>
      </c>
      <c r="M57" s="59">
        <f t="shared" si="83"/>
        <v>41394</v>
      </c>
      <c r="N57" s="26">
        <f t="shared" si="83"/>
        <v>39094</v>
      </c>
    </row>
    <row r="58" spans="1:14" x14ac:dyDescent="0.25">
      <c r="A58" s="86" t="s">
        <v>69</v>
      </c>
      <c r="B58" s="58">
        <f t="shared" ref="B58:N58" si="84">B26</f>
        <v>5501</v>
      </c>
      <c r="C58" s="59">
        <f t="shared" si="84"/>
        <v>6347</v>
      </c>
      <c r="D58" s="59">
        <f t="shared" si="84"/>
        <v>6517</v>
      </c>
      <c r="E58" s="59">
        <f t="shared" si="84"/>
        <v>7305</v>
      </c>
      <c r="F58" s="59">
        <f t="shared" si="84"/>
        <v>7870</v>
      </c>
      <c r="G58" s="59">
        <f t="shared" si="84"/>
        <v>9373</v>
      </c>
      <c r="H58" s="59">
        <f t="shared" si="84"/>
        <v>7368</v>
      </c>
      <c r="I58" s="59">
        <f t="shared" si="84"/>
        <v>12236</v>
      </c>
      <c r="J58" s="59">
        <f t="shared" si="84"/>
        <v>10873</v>
      </c>
      <c r="K58" s="59">
        <f t="shared" si="84"/>
        <v>11134</v>
      </c>
      <c r="L58" s="26">
        <f t="shared" si="84"/>
        <v>8020</v>
      </c>
      <c r="M58" s="59">
        <f t="shared" si="84"/>
        <v>8717</v>
      </c>
      <c r="N58" s="26">
        <f t="shared" si="84"/>
        <v>8213</v>
      </c>
    </row>
    <row r="59" spans="1:14" x14ac:dyDescent="0.25">
      <c r="A59" s="18" t="s">
        <v>89</v>
      </c>
      <c r="B59" s="87">
        <f>SUM(B56:B58)</f>
        <v>36739</v>
      </c>
      <c r="C59" s="10">
        <f t="shared" ref="C59:K59" si="85">SUM(C56:C58)</f>
        <v>39557</v>
      </c>
      <c r="D59" s="10">
        <f t="shared" si="85"/>
        <v>38417</v>
      </c>
      <c r="E59" s="10">
        <f t="shared" si="85"/>
        <v>38034</v>
      </c>
      <c r="F59" s="10">
        <f t="shared" si="85"/>
        <v>38820</v>
      </c>
      <c r="G59" s="10">
        <f t="shared" si="85"/>
        <v>37474</v>
      </c>
      <c r="H59" s="10">
        <f t="shared" si="85"/>
        <v>37203</v>
      </c>
      <c r="I59" s="10">
        <f t="shared" si="85"/>
        <v>54314</v>
      </c>
      <c r="J59" s="10">
        <f t="shared" si="85"/>
        <v>56252</v>
      </c>
      <c r="K59" s="10">
        <f t="shared" si="85"/>
        <v>62612</v>
      </c>
      <c r="L59" s="28">
        <f t="shared" ref="L59" si="86">SUM(L56:L58)</f>
        <v>59299</v>
      </c>
      <c r="M59" s="10">
        <f t="shared" ref="M59" si="87">SUM(M56:M58)</f>
        <v>96259</v>
      </c>
      <c r="N59" s="28">
        <f t="shared" ref="N59" si="88">SUM(N56:N58)</f>
        <v>94824</v>
      </c>
    </row>
    <row r="60" spans="1:14" x14ac:dyDescent="0.25">
      <c r="A60" s="83"/>
      <c r="B60" s="84"/>
      <c r="C60" s="84"/>
      <c r="D60" s="84"/>
      <c r="E60" s="84"/>
      <c r="F60" s="84"/>
      <c r="G60" s="84"/>
      <c r="H60" s="84"/>
      <c r="I60" s="84"/>
      <c r="J60" s="84"/>
      <c r="K60" s="94"/>
      <c r="L60" s="84"/>
      <c r="M60" s="94"/>
      <c r="N60" s="84"/>
    </row>
    <row r="61" spans="1:14" x14ac:dyDescent="0.25">
      <c r="A61" s="23" t="s">
        <v>90</v>
      </c>
      <c r="B61" s="88">
        <f>B23-B27</f>
        <v>14639</v>
      </c>
      <c r="C61" s="21">
        <f t="shared" ref="C61:K61" si="89">C23-C27</f>
        <v>12954</v>
      </c>
      <c r="D61" s="21">
        <f t="shared" si="89"/>
        <v>12625</v>
      </c>
      <c r="E61" s="21">
        <f t="shared" si="89"/>
        <v>13472</v>
      </c>
      <c r="F61" s="21">
        <f t="shared" si="89"/>
        <v>13945</v>
      </c>
      <c r="G61" s="21">
        <f t="shared" si="89"/>
        <v>13862</v>
      </c>
      <c r="H61" s="21">
        <f t="shared" si="89"/>
        <v>14114</v>
      </c>
      <c r="I61" s="21">
        <f t="shared" si="89"/>
        <v>15920</v>
      </c>
      <c r="J61" s="21">
        <f t="shared" si="89"/>
        <v>17665</v>
      </c>
      <c r="K61" s="21">
        <f t="shared" si="89"/>
        <v>19626</v>
      </c>
      <c r="L61" s="22">
        <f t="shared" ref="L61" si="90">L23-L27</f>
        <v>15788</v>
      </c>
      <c r="M61" s="21">
        <f t="shared" ref="M61" si="91">M23-M27</f>
        <v>29999</v>
      </c>
      <c r="N61" s="22">
        <f t="shared" ref="N61" si="92">N23-N27</f>
        <v>31908</v>
      </c>
    </row>
    <row r="62" spans="1:14" x14ac:dyDescent="0.25">
      <c r="A62" s="82" t="s">
        <v>91</v>
      </c>
    </row>
  </sheetData>
  <pageMargins left="0.7" right="0.7" top="0.78740157499999996" bottom="0.78740157499999996" header="0.3" footer="0.3"/>
  <pageSetup paperSize="9" scale="54" orientation="landscape" r:id="rId1"/>
  <headerFooter>
    <oddFooter>&amp;L&amp;9DT &lt;&amp;F/&amp;A&gt; 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M41"/>
  <sheetViews>
    <sheetView topLeftCell="A10" workbookViewId="0"/>
  </sheetViews>
  <sheetFormatPr baseColWidth="10" defaultRowHeight="15" x14ac:dyDescent="0.25"/>
  <cols>
    <col min="1" max="1" width="20.28515625" customWidth="1"/>
  </cols>
  <sheetData>
    <row r="1" spans="1:13" x14ac:dyDescent="0.25">
      <c r="B1" s="1">
        <v>2008</v>
      </c>
      <c r="C1" s="1">
        <v>2009</v>
      </c>
      <c r="D1" s="1">
        <v>2010</v>
      </c>
      <c r="E1" s="1">
        <v>2011</v>
      </c>
      <c r="F1" s="1">
        <v>2012</v>
      </c>
      <c r="G1" s="1">
        <v>2013</v>
      </c>
      <c r="H1" s="1">
        <v>2014</v>
      </c>
      <c r="I1" s="1">
        <v>2015</v>
      </c>
      <c r="J1" s="1">
        <v>2016</v>
      </c>
      <c r="K1" s="1">
        <v>2017</v>
      </c>
      <c r="L1" s="1">
        <v>2018</v>
      </c>
      <c r="M1" s="1">
        <v>2019</v>
      </c>
    </row>
    <row r="2" spans="1:13" x14ac:dyDescent="0.25">
      <c r="A2" t="s">
        <v>14</v>
      </c>
      <c r="B2" s="60">
        <f>BASF!C2</f>
        <v>0.16444422330580158</v>
      </c>
      <c r="C2" s="60">
        <f>BASF!D2</f>
        <v>8.839867535519709E-2</v>
      </c>
      <c r="D2" s="60">
        <f>BASF!E2</f>
        <v>0.27266376484496752</v>
      </c>
      <c r="E2" s="60">
        <f>BASF!F2</f>
        <v>0.29143311117976783</v>
      </c>
      <c r="F2" s="60">
        <f>BASF!G2</f>
        <v>0.19960606657474886</v>
      </c>
      <c r="G2" s="60">
        <f>BASF!H2</f>
        <v>0.19993743401243499</v>
      </c>
      <c r="H2" s="60">
        <f>BASF!I2</f>
        <v>0.19846059335814692</v>
      </c>
      <c r="I2" s="60">
        <f>BASF!J2</f>
        <v>0.152544777442809</v>
      </c>
      <c r="J2" s="60">
        <f>BASF!K2</f>
        <v>0.13488666983674116</v>
      </c>
      <c r="K2" s="60">
        <f>BASF!L2</f>
        <v>0.19503807418324737</v>
      </c>
      <c r="L2" s="60">
        <f>BASF!M2</f>
        <v>0.1432558407181494</v>
      </c>
      <c r="M2" s="60">
        <f>BASF!N2</f>
        <v>0.23514913179539726</v>
      </c>
    </row>
    <row r="3" spans="1:13" x14ac:dyDescent="0.25">
      <c r="A3" t="s">
        <v>15</v>
      </c>
      <c r="B3" s="60">
        <f>BASF!C7</f>
        <v>0.23197717198183809</v>
      </c>
      <c r="C3" s="60">
        <f>BASF!D7</f>
        <v>0.12596779719081877</v>
      </c>
      <c r="D3" s="60">
        <f>BASF!E7</f>
        <v>0.23883674411447914</v>
      </c>
      <c r="E3" s="60">
        <f>BASF!F7</f>
        <v>0.24078748107016659</v>
      </c>
      <c r="F3" s="60">
        <f>BASF!G7</f>
        <v>0.18144873709848883</v>
      </c>
      <c r="G3" s="60">
        <f>BASF!H7</f>
        <v>0.18482904603946979</v>
      </c>
      <c r="H3" s="60">
        <f>BASF!I7</f>
        <v>0.17981184126759567</v>
      </c>
      <c r="I3" s="60">
        <f>BASF!J7</f>
        <v>0.13695597373987572</v>
      </c>
      <c r="J3" s="60">
        <f>BASF!K7</f>
        <v>0.13030296737753597</v>
      </c>
      <c r="K3" s="60">
        <f>BASF!L7</f>
        <v>0.15526927051889447</v>
      </c>
      <c r="L3" s="60">
        <f>BASF!M7</f>
        <v>0.11214532352499625</v>
      </c>
      <c r="M3" s="60">
        <f>BASF!N7</f>
        <v>7.3907888736890109E-2</v>
      </c>
    </row>
    <row r="4" spans="1:13" x14ac:dyDescent="0.25">
      <c r="A4" t="s">
        <v>16</v>
      </c>
      <c r="B4" s="60">
        <f>Thyssen!C2</f>
        <v>0.21786158705848568</v>
      </c>
      <c r="C4" s="60">
        <f>Thyssen!D2</f>
        <v>-0.16302550265471322</v>
      </c>
      <c r="D4" s="60">
        <f>Thyssen!E2</f>
        <v>9.5606435643564358E-2</v>
      </c>
      <c r="E4" s="60">
        <f>Thyssen!F2</f>
        <v>-0.17164035425490951</v>
      </c>
      <c r="F4" s="60">
        <f>Thyssen!G2</f>
        <v>-0.48564823733384704</v>
      </c>
      <c r="G4" s="60">
        <f>Thyssen!H2</f>
        <v>-0.34821034025629694</v>
      </c>
      <c r="H4" s="60">
        <f>Thyssen!I2</f>
        <v>7.7627388535031844E-2</v>
      </c>
      <c r="I4" s="60">
        <f>Thyssen!J2</f>
        <v>8.377618005626758E-2</v>
      </c>
      <c r="J4" s="60">
        <f>Thyssen!K2</f>
        <v>7.8923495615361355E-2</v>
      </c>
      <c r="K4" s="60">
        <f>Thyssen!L2</f>
        <v>-0.22652357224990419</v>
      </c>
      <c r="L4" s="60">
        <f>Thyssen!M2</f>
        <v>-3.5252643948296123E-3</v>
      </c>
      <c r="M4" s="60">
        <f>Thyssen!N2</f>
        <v>-8.1173899469247579E-2</v>
      </c>
    </row>
    <row r="5" spans="1:13" x14ac:dyDescent="0.25">
      <c r="A5" t="s">
        <v>31</v>
      </c>
      <c r="B5" s="60">
        <f>Thyssen!C7</f>
        <v>0.2040384999857196</v>
      </c>
      <c r="C5" s="60">
        <f>Thyssen!D7</f>
        <v>-9.0988674290091373E-2</v>
      </c>
      <c r="D5" s="60">
        <f>Thyssen!E7</f>
        <v>6.8824461829523953E-2</v>
      </c>
      <c r="E5" s="60">
        <f>Thyssen!F7</f>
        <v>-4.8157535581984795E-2</v>
      </c>
      <c r="F5" s="60">
        <f>Thyssen!G7</f>
        <v>-0.23610773428424778</v>
      </c>
      <c r="G5" s="60">
        <f>Thyssen!H7</f>
        <v>-3.7405976824557839E-2</v>
      </c>
      <c r="H5" s="60">
        <f>Thyssen!I7</f>
        <v>8.9656252446950122E-2</v>
      </c>
      <c r="I5" s="60">
        <f>Thyssen!J7</f>
        <v>7.8784468204839614E-2</v>
      </c>
      <c r="J5" s="60">
        <f>Thyssen!K7</f>
        <v>8.778362679252133E-2</v>
      </c>
      <c r="K5" s="60">
        <f>Thyssen!L7</f>
        <v>5.1289653127779423E-2</v>
      </c>
      <c r="L5" s="60">
        <f>Thyssen!M7</f>
        <v>6.9103040993979375E-2</v>
      </c>
      <c r="M5" s="60">
        <f>Thyssen!N7</f>
        <v>1.9096848302103526E-2</v>
      </c>
    </row>
    <row r="6" spans="1:13" x14ac:dyDescent="0.25">
      <c r="A6" t="s">
        <v>17</v>
      </c>
      <c r="B6" s="60">
        <f>Siemens!C2</f>
        <v>0.19867013197421271</v>
      </c>
      <c r="C6" s="60">
        <f>Siemens!D2</f>
        <v>9.1197954711468229E-2</v>
      </c>
      <c r="D6" s="60">
        <f>Siemens!E2</f>
        <v>0.14908198043024151</v>
      </c>
      <c r="E6" s="60">
        <f>Siemens!F2</f>
        <v>0.21724635688754468</v>
      </c>
      <c r="F6" s="60">
        <f>Siemens!G2</f>
        <v>0.14274163453165817</v>
      </c>
      <c r="G6" s="60">
        <f>Siemens!H2</f>
        <v>0.14085361957702383</v>
      </c>
      <c r="H6" s="60">
        <f>Siemens!I2</f>
        <v>0.19238427947598252</v>
      </c>
      <c r="I6" s="60">
        <f>Siemens!J2</f>
        <v>0.23418163355968777</v>
      </c>
      <c r="J6" s="60">
        <f>Siemens!K2</f>
        <v>0.15928799634869922</v>
      </c>
      <c r="K6" s="60">
        <f>Siemens!L2</f>
        <v>0.17503446691176472</v>
      </c>
      <c r="L6" s="60">
        <f>Siemens!M2</f>
        <v>0.13716129899818463</v>
      </c>
      <c r="M6" s="60">
        <f>Siemens!N2</f>
        <v>0.11755401073970778</v>
      </c>
    </row>
    <row r="7" spans="1:13" x14ac:dyDescent="0.25">
      <c r="A7" t="s">
        <v>18</v>
      </c>
      <c r="B7" s="60">
        <f>Siemens!C7</f>
        <v>8.9103423616697958E-2</v>
      </c>
      <c r="C7" s="60">
        <f>Siemens!D7</f>
        <v>0.2428869372213612</v>
      </c>
      <c r="D7" s="60">
        <f>Siemens!E7</f>
        <v>0.22124572262009387</v>
      </c>
      <c r="E7" s="60">
        <f>Siemens!F7</f>
        <v>0.30793881467404466</v>
      </c>
      <c r="F7" s="60">
        <f>Siemens!G7</f>
        <v>0.24218145556453416</v>
      </c>
      <c r="G7" s="60">
        <f>Siemens!H7</f>
        <v>0.25843430549658708</v>
      </c>
      <c r="H7" s="60">
        <f>Siemens!I7</f>
        <v>0.23618742490989186</v>
      </c>
      <c r="I7" s="60">
        <f>Siemens!J7</f>
        <v>0.26447383042560285</v>
      </c>
      <c r="J7" s="60">
        <f>Siemens!K7</f>
        <v>0.17666929532373676</v>
      </c>
      <c r="K7" s="60">
        <f>Siemens!L7</f>
        <v>0.1491367168647999</v>
      </c>
      <c r="L7" s="60">
        <f>Siemens!M7</f>
        <v>0.10976928942561756</v>
      </c>
      <c r="M7" s="60">
        <f>Siemens!N7</f>
        <v>0.1158244870258812</v>
      </c>
    </row>
    <row r="8" spans="1:13" x14ac:dyDescent="0.25">
      <c r="A8" t="s">
        <v>19</v>
      </c>
      <c r="B8" s="60">
        <f>VW!C2</f>
        <v>0.14678439476485691</v>
      </c>
      <c r="C8" s="60">
        <f>VW!D2</f>
        <v>2.4366106772226382E-2</v>
      </c>
      <c r="D8" s="60">
        <f>VW!E2</f>
        <v>0.19305370024044885</v>
      </c>
      <c r="E8" s="60">
        <f>VW!F2</f>
        <v>0.32433486615207752</v>
      </c>
      <c r="F8" s="60">
        <f>VW!G2</f>
        <v>0.34537677179025794</v>
      </c>
      <c r="G8" s="60">
        <f>VW!H2</f>
        <v>0.11153119092627599</v>
      </c>
      <c r="H8" s="60">
        <f>VW!I2</f>
        <v>0.12292724102313493</v>
      </c>
      <c r="I8" s="60">
        <f>VW!J2</f>
        <v>-1.5090532104802138E-2</v>
      </c>
      <c r="J8" s="60">
        <f>VW!K2</f>
        <v>6.0938031041123823E-2</v>
      </c>
      <c r="K8" s="60">
        <f>VW!L2</f>
        <v>0.12434103481939472</v>
      </c>
      <c r="L8" s="60">
        <f>VW!M2</f>
        <v>0.11141670562996782</v>
      </c>
      <c r="M8" s="60">
        <f>VW!N2</f>
        <v>0.11955651003050911</v>
      </c>
    </row>
    <row r="9" spans="1:13" x14ac:dyDescent="0.25">
      <c r="A9" t="s">
        <v>20</v>
      </c>
      <c r="B9" s="60">
        <f>VW!C7</f>
        <v>0.12404755841968151</v>
      </c>
      <c r="C9" s="60">
        <f>VW!D7</f>
        <v>3.4790926226356704E-2</v>
      </c>
      <c r="D9" s="60">
        <f>VW!E7</f>
        <v>0.14054873248307354</v>
      </c>
      <c r="E9" s="60">
        <f>VW!F7</f>
        <v>0.18806313822331977</v>
      </c>
      <c r="F9" s="60">
        <f>VW!G7</f>
        <v>0.12589510566079054</v>
      </c>
      <c r="G9" s="60">
        <f>VW!H7</f>
        <v>9.2735912023646824E-2</v>
      </c>
      <c r="H9" s="60">
        <f>VW!I7</f>
        <v>8.8768483238368237E-2</v>
      </c>
      <c r="I9" s="60">
        <f>VW!J7</f>
        <v>-2.7720721733413722E-2</v>
      </c>
      <c r="J9" s="60">
        <f>VW!K7</f>
        <v>4.7664423134994395E-2</v>
      </c>
      <c r="K9" s="60">
        <f>VW!L7</f>
        <v>8.4209884819306483E-2</v>
      </c>
      <c r="L9" s="60">
        <f>VW!M7</f>
        <v>7.6385725966208101E-2</v>
      </c>
      <c r="M9" s="60">
        <f>VW!N7</f>
        <v>8.5917415740297501E-2</v>
      </c>
    </row>
    <row r="10" spans="1:13" x14ac:dyDescent="0.25">
      <c r="A10" t="s">
        <v>21</v>
      </c>
      <c r="B10" s="60">
        <f>SAP!C2</f>
        <v>0.28527323247916025</v>
      </c>
      <c r="C10" s="60">
        <f>SAP!D2</f>
        <v>0.24403848835587785</v>
      </c>
      <c r="D10" s="60">
        <f>SAP!E2</f>
        <v>0.21352019785655399</v>
      </c>
      <c r="E10" s="60">
        <f>SAP!F2</f>
        <v>0.34985749185667753</v>
      </c>
      <c r="F10" s="60">
        <f>SAP!G2</f>
        <v>0.22058707798851027</v>
      </c>
      <c r="G10" s="60">
        <f>SAP!H2</f>
        <v>0.23526498266468548</v>
      </c>
      <c r="H10" s="60">
        <f>SAP!I2</f>
        <v>0.20438683948155534</v>
      </c>
      <c r="I10" s="60">
        <f>SAP!J2</f>
        <v>0.15593427900806206</v>
      </c>
      <c r="J10" s="60">
        <f>SAP!K2</f>
        <v>0.15599914144666238</v>
      </c>
      <c r="K10" s="60">
        <f>SAP!L2</f>
        <v>0.15327499337045877</v>
      </c>
      <c r="L10" s="60">
        <f>SAP!M2</f>
        <v>0.16021947873799725</v>
      </c>
      <c r="M10" s="60">
        <f>SAP!N2</f>
        <v>0.1167018734633099</v>
      </c>
    </row>
    <row r="11" spans="1:13" x14ac:dyDescent="0.25">
      <c r="A11" t="s">
        <v>22</v>
      </c>
      <c r="B11" s="60">
        <f>SAP!C7</f>
        <v>0.53657347204161243</v>
      </c>
      <c r="C11" s="60">
        <f>SAP!D7</f>
        <v>0.39540695710908474</v>
      </c>
      <c r="D11" s="60">
        <f>SAP!E7</f>
        <v>0.46558537304629904</v>
      </c>
      <c r="E11" s="60">
        <f>SAP!F7</f>
        <v>0.46399391981759452</v>
      </c>
      <c r="F11" s="60">
        <f>SAP!G7</f>
        <v>0.30224382946896033</v>
      </c>
      <c r="G11" s="60">
        <f>SAP!H7</f>
        <v>0.27547819669106344</v>
      </c>
      <c r="H11" s="60">
        <f>SAP!I7</f>
        <v>0.20372068957407277</v>
      </c>
      <c r="I11" s="60">
        <f>SAP!J7</f>
        <v>0.15850885368126746</v>
      </c>
      <c r="J11" s="60">
        <f>SAP!K7</f>
        <v>0.18160277266940161</v>
      </c>
      <c r="K11" s="60">
        <f>SAP!L7</f>
        <v>0.17820407417557321</v>
      </c>
      <c r="L11" s="60">
        <f>SAP!M7</f>
        <v>0.20430242347167243</v>
      </c>
      <c r="M11" s="60">
        <f>SAP!N7</f>
        <v>0.13449800042096402</v>
      </c>
    </row>
    <row r="13" spans="1:13" x14ac:dyDescent="0.25">
      <c r="A13" t="s">
        <v>32</v>
      </c>
      <c r="B13" s="60">
        <f>BASF!C11</f>
        <v>0.19798314268512943</v>
      </c>
      <c r="C13" s="60">
        <f>BASF!D11</f>
        <v>0.10796958842434624</v>
      </c>
      <c r="D13" s="60">
        <f>BASF!E11</f>
        <v>0.21392649395328073</v>
      </c>
      <c r="E13" s="60">
        <f>BASF!F11</f>
        <v>0.23723979915175741</v>
      </c>
      <c r="F13" s="60">
        <f>BASF!G11</f>
        <v>0.15760443138035624</v>
      </c>
      <c r="G13" s="60">
        <f>BASF!H11</f>
        <v>0.16215374346423406</v>
      </c>
      <c r="H13" s="60">
        <f>BASF!I11</f>
        <v>0.16322742319710423</v>
      </c>
      <c r="I13" s="60">
        <f>BASF!J11</f>
        <v>0.11902219400271292</v>
      </c>
      <c r="J13" s="60">
        <f>BASF!K11</f>
        <v>0.10996513654851831</v>
      </c>
      <c r="K13" s="60">
        <f>BASF!L11</f>
        <v>0.12660755788930017</v>
      </c>
      <c r="L13" s="60">
        <f>BASF!M11</f>
        <v>9.346778439233791E-2</v>
      </c>
      <c r="M13" s="60">
        <f>BASF!N11</f>
        <v>5.9490639637333011E-2</v>
      </c>
    </row>
    <row r="14" spans="1:13" x14ac:dyDescent="0.25">
      <c r="A14" t="s">
        <v>33</v>
      </c>
      <c r="B14" s="60">
        <f>BASF!C12</f>
        <v>9.9488260084286573E-2</v>
      </c>
      <c r="C14" s="60">
        <f>BASF!D12</f>
        <v>4.6863275332361141E-2</v>
      </c>
      <c r="D14" s="60">
        <f>BASF!E12</f>
        <v>0.13325104717885422</v>
      </c>
      <c r="E14" s="60">
        <f>BASF!F12</f>
        <v>0.16094671671622873</v>
      </c>
      <c r="F14" s="60">
        <f>BASF!G12</f>
        <v>0.11867761239474886</v>
      </c>
      <c r="G14" s="60">
        <f>BASF!H12</f>
        <v>0.11376126376682612</v>
      </c>
      <c r="H14" s="60">
        <f>BASF!I12</f>
        <v>0.11327331415194547</v>
      </c>
      <c r="I14" s="60">
        <f>BASF!J12</f>
        <v>8.2753711025811236E-2</v>
      </c>
      <c r="J14" s="60">
        <f>BASF!K12</f>
        <v>7.7262492736780944E-2</v>
      </c>
      <c r="K14" s="60">
        <f>BASF!L12</f>
        <v>0.10935697684427993</v>
      </c>
      <c r="L14" s="60">
        <f>BASF!M12</f>
        <v>8.0654436479974084E-2</v>
      </c>
      <c r="M14" s="60">
        <f>BASF!N12</f>
        <v>0.12788228383812522</v>
      </c>
    </row>
    <row r="15" spans="1:13" x14ac:dyDescent="0.25">
      <c r="A15" t="s">
        <v>34</v>
      </c>
      <c r="B15" s="60">
        <f>Thyssen!C11</f>
        <v>0.17642345291787814</v>
      </c>
      <c r="C15" s="60">
        <f>Thyssen!D11</f>
        <v>-5.9206631142687982E-2</v>
      </c>
      <c r="D15" s="60">
        <f>Thyssen!E11</f>
        <v>8.3737744857260737E-2</v>
      </c>
      <c r="E15" s="60">
        <f>Thyssen!F11</f>
        <v>-2.8414226763607782E-2</v>
      </c>
      <c r="F15" s="60">
        <f>Thyssen!G11</f>
        <v>-0.18401140475929378</v>
      </c>
      <c r="G15" s="60">
        <f>Thyssen!H11</f>
        <v>-4.3720271227608541E-2</v>
      </c>
      <c r="H15" s="60">
        <f>Thyssen!I11</f>
        <v>5.6120527306967982E-2</v>
      </c>
      <c r="I15" s="60">
        <f>Thyssen!J11</f>
        <v>5.0204945481822812E-2</v>
      </c>
      <c r="J15" s="60">
        <f>Thyssen!K11</f>
        <v>5.2835765749122486E-2</v>
      </c>
      <c r="K15" s="60">
        <f>Thyssen!L11</f>
        <v>1.7785351047684975E-2</v>
      </c>
      <c r="L15" s="60">
        <f>Thyssen!M11</f>
        <v>4.4170166566669521E-2</v>
      </c>
      <c r="M15" s="60">
        <f>Thyssen!N11</f>
        <v>5.0287151061458903E-3</v>
      </c>
    </row>
    <row r="16" spans="1:13" x14ac:dyDescent="0.25">
      <c r="A16" t="s">
        <v>38</v>
      </c>
      <c r="B16" s="60">
        <f>Thyssen!C12</f>
        <v>0.10421484008333524</v>
      </c>
      <c r="C16" s="60">
        <f>Thyssen!D12</f>
        <v>-7.9210014378753274E-2</v>
      </c>
      <c r="D16" s="60">
        <f>Thyssen!E12</f>
        <v>3.642650843861131E-2</v>
      </c>
      <c r="E16" s="60">
        <f>Thyssen!F12</f>
        <v>-7.0072705836117119E-2</v>
      </c>
      <c r="F16" s="60">
        <f>Thyssen!G12</f>
        <v>-0.22116460138173044</v>
      </c>
      <c r="G16" s="60">
        <f>Thyssen!H12</f>
        <v>-7.9749013257767426E-2</v>
      </c>
      <c r="H16" s="60">
        <f>Thyssen!I12</f>
        <v>1.0492332526230832E-2</v>
      </c>
      <c r="I16" s="60">
        <f>Thyssen!J12</f>
        <v>1.4359578857127549E-2</v>
      </c>
      <c r="J16" s="60">
        <f>Thyssen!K12</f>
        <v>1.377635850201895E-2</v>
      </c>
      <c r="K16" s="60">
        <f>Thyssen!L12</f>
        <v>-3.1470486434676107E-2</v>
      </c>
      <c r="L16" s="60">
        <f>Thyssen!M12</f>
        <v>-6.8569469443730176E-4</v>
      </c>
      <c r="M16" s="60">
        <f>Thyssen!N12</f>
        <v>-1.4857567359067401E-2</v>
      </c>
    </row>
    <row r="17" spans="1:13" x14ac:dyDescent="0.25">
      <c r="A17" t="s">
        <v>35</v>
      </c>
      <c r="B17" s="60">
        <f>Siemens!C11</f>
        <v>0.10618026827127992</v>
      </c>
      <c r="C17" s="60">
        <f>Siemens!D11</f>
        <v>0.12125184986541919</v>
      </c>
      <c r="D17" s="60">
        <f>Siemens!E11</f>
        <v>0.13959179234338748</v>
      </c>
      <c r="E17" s="60">
        <f>Siemens!F11</f>
        <v>0.19715171141056442</v>
      </c>
      <c r="F17" s="60">
        <f>Siemens!G11</f>
        <v>0.15094940421324307</v>
      </c>
      <c r="G17" s="60">
        <f>Siemens!H11</f>
        <v>0.1163970135851943</v>
      </c>
      <c r="H17" s="60">
        <f>Siemens!I11</f>
        <v>0.13732133492054244</v>
      </c>
      <c r="I17" s="60">
        <f>Siemens!J11</f>
        <v>0.15078643112858736</v>
      </c>
      <c r="J17" s="60">
        <f>Siemens!K11</f>
        <v>0.11141124371777723</v>
      </c>
      <c r="K17" s="60">
        <f>Siemens!L11</f>
        <v>0.11202931833661839</v>
      </c>
      <c r="L17" s="60">
        <f>Siemens!M11</f>
        <v>0.10626849918546222</v>
      </c>
      <c r="M17" s="60">
        <f>Siemens!N11</f>
        <v>9.3610818689772446E-2</v>
      </c>
    </row>
    <row r="18" spans="1:13" x14ac:dyDescent="0.25">
      <c r="A18" t="s">
        <v>39</v>
      </c>
      <c r="B18" s="60">
        <f>Siemens!C12</f>
        <v>0.12297856336968785</v>
      </c>
      <c r="C18" s="60">
        <f>Siemens!D12</f>
        <v>4.9601223642521577E-2</v>
      </c>
      <c r="D18" s="60">
        <f>Siemens!E12</f>
        <v>7.3738399071925753E-2</v>
      </c>
      <c r="E18" s="60">
        <f>Siemens!F12</f>
        <v>0.11004909641700616</v>
      </c>
      <c r="F18" s="60">
        <f>Siemens!G12</f>
        <v>7.6924366086242438E-2</v>
      </c>
      <c r="G18" s="60">
        <f>Siemens!H12</f>
        <v>7.3313490413874527E-2</v>
      </c>
      <c r="H18" s="60">
        <f>Siemens!I12</f>
        <v>9.1686298667243829E-2</v>
      </c>
      <c r="I18" s="60">
        <f>Siemens!J12</f>
        <v>0.1082810024062445</v>
      </c>
      <c r="J18" s="60">
        <f>Siemens!K12</f>
        <v>7.2516655195252133E-2</v>
      </c>
      <c r="K18" s="60">
        <f>Siemens!L12</f>
        <v>7.3464614865312861E-2</v>
      </c>
      <c r="L18" s="60">
        <f>Siemens!M12</f>
        <v>7.0210862033361632E-2</v>
      </c>
      <c r="M18" s="60">
        <f>Siemens!N12</f>
        <v>6.0981995843118204E-2</v>
      </c>
    </row>
    <row r="19" spans="1:13" x14ac:dyDescent="0.25">
      <c r="A19" t="s">
        <v>36</v>
      </c>
      <c r="B19" s="60">
        <f>VW!C11</f>
        <v>7.4553667842487945E-2</v>
      </c>
      <c r="C19" s="60">
        <f>VW!D11</f>
        <v>2.5123849964614295E-2</v>
      </c>
      <c r="D19" s="60">
        <f>VW!E11</f>
        <v>8.0497556641492676E-2</v>
      </c>
      <c r="E19" s="60">
        <f>VW!F11</f>
        <v>0.13209752626831159</v>
      </c>
      <c r="F19" s="60">
        <f>VW!G11</f>
        <v>0.13917486847735797</v>
      </c>
      <c r="G19" s="60">
        <f>VW!H11</f>
        <v>6.4314353748643069E-2</v>
      </c>
      <c r="H19" s="60">
        <f>VW!I11</f>
        <v>6.9917297707730516E-2</v>
      </c>
      <c r="I19" s="60">
        <f>VW!J11</f>
        <v>3.9388030307440066E-3</v>
      </c>
      <c r="J19" s="60">
        <f>VW!K11</f>
        <v>3.764837994130369E-2</v>
      </c>
      <c r="K19" s="60">
        <f>VW!L11</f>
        <v>5.4638646847770374E-2</v>
      </c>
      <c r="L19" s="60">
        <f>VW!M11</f>
        <v>5.3170347710566487E-2</v>
      </c>
      <c r="M19" s="60">
        <f>VW!N11</f>
        <v>5.8997216845852817E-2</v>
      </c>
    </row>
    <row r="20" spans="1:13" x14ac:dyDescent="0.25">
      <c r="A20" t="s">
        <v>40</v>
      </c>
      <c r="B20" s="60">
        <f>VW!C12</f>
        <v>4.2185587790655822E-2</v>
      </c>
      <c r="C20" s="60">
        <f>VW!D12</f>
        <v>7.326449205430097E-3</v>
      </c>
      <c r="D20" s="60">
        <f>VW!E12</f>
        <v>5.3502147193839777E-2</v>
      </c>
      <c r="E20" s="60">
        <f>VW!F12</f>
        <v>0.10036591408642179</v>
      </c>
      <c r="F20" s="60">
        <f>VW!G12</f>
        <v>0.11015682029853752</v>
      </c>
      <c r="G20" s="60">
        <f>VW!H12</f>
        <v>4.0029589942921176E-2</v>
      </c>
      <c r="H20" s="60">
        <f>VW!I12</f>
        <v>4.5426747932442696E-2</v>
      </c>
      <c r="I20" s="60">
        <f>VW!J12</f>
        <v>-5.2814885959040327E-3</v>
      </c>
      <c r="J20" s="60">
        <f>VW!K12</f>
        <v>1.9869567867373681E-2</v>
      </c>
      <c r="K20" s="60">
        <f>VW!L12</f>
        <v>3.9169656586365967E-2</v>
      </c>
      <c r="L20" s="60">
        <f>VW!M12</f>
        <v>3.7590415109163146E-2</v>
      </c>
      <c r="M20" s="60">
        <f>VW!N12</f>
        <v>3.9639461452608681E-2</v>
      </c>
    </row>
    <row r="21" spans="1:13" x14ac:dyDescent="0.25">
      <c r="A21" t="s">
        <v>37</v>
      </c>
      <c r="B21" s="60">
        <f>SAP!C11</f>
        <v>0.34421954551098971</v>
      </c>
      <c r="C21" s="60">
        <f>SAP!D11</f>
        <v>0.27150380339379754</v>
      </c>
      <c r="D21" s="60">
        <f>SAP!E11</f>
        <v>0.21066950053134964</v>
      </c>
      <c r="E21" s="60">
        <f>SAP!F11</f>
        <v>0.31744395774284978</v>
      </c>
      <c r="F21" s="60">
        <f>SAP!G11</f>
        <v>0.22093023255813954</v>
      </c>
      <c r="G21" s="60">
        <f>SAP!H11</f>
        <v>0.2313953488372093</v>
      </c>
      <c r="H21" s="60">
        <f>SAP!I11</f>
        <v>0.17621989365029717</v>
      </c>
      <c r="I21" s="60">
        <f>SAP!J11</f>
        <v>0.13301729821366903</v>
      </c>
      <c r="J21" s="60">
        <f>SAP!K11</f>
        <v>0.15143510661846085</v>
      </c>
      <c r="K21" s="60">
        <f>SAP!L11</f>
        <v>0.15853894893775625</v>
      </c>
      <c r="L21" s="60">
        <f>SAP!M11</f>
        <v>0.1657942586368395</v>
      </c>
      <c r="M21" s="60">
        <f>SAP!N11</f>
        <v>0.12189674628549935</v>
      </c>
    </row>
    <row r="22" spans="1:13" x14ac:dyDescent="0.25">
      <c r="A22" t="s">
        <v>41</v>
      </c>
      <c r="B22" s="60">
        <f>SAP!C12</f>
        <v>0.22947969700732646</v>
      </c>
      <c r="C22" s="60">
        <f>SAP!D12</f>
        <v>0.18618011596361508</v>
      </c>
      <c r="D22" s="60">
        <f>SAP!E12</f>
        <v>0.15413390010626993</v>
      </c>
      <c r="E22" s="60">
        <f>SAP!F12</f>
        <v>0.2213991239371296</v>
      </c>
      <c r="F22" s="60">
        <f>SAP!G12</f>
        <v>0.15594747969288972</v>
      </c>
      <c r="G22" s="60">
        <f>SAP!H12</f>
        <v>0.16809908998988879</v>
      </c>
      <c r="H22" s="60">
        <f>SAP!I12</f>
        <v>0.12824522990303411</v>
      </c>
      <c r="I22" s="60">
        <f>SAP!J12</f>
        <v>9.5940727717954352E-2</v>
      </c>
      <c r="J22" s="60">
        <f>SAP!K12</f>
        <v>0.10725300671438058</v>
      </c>
      <c r="K22" s="60">
        <f>SAP!L12</f>
        <v>0.12064107342527022</v>
      </c>
      <c r="L22" s="60">
        <f>SAP!M12</f>
        <v>0.11262328502947822</v>
      </c>
      <c r="M22" s="60">
        <f>SAP!N12</f>
        <v>7.9227007711115294E-2</v>
      </c>
    </row>
    <row r="24" spans="1:13" x14ac:dyDescent="0.25">
      <c r="A24" t="s">
        <v>42</v>
      </c>
      <c r="B24" s="60">
        <f>BASF!C3</f>
        <v>5.3046353364149972E-2</v>
      </c>
      <c r="C24" s="60">
        <f>BASF!D3</f>
        <v>3.2647505572761526E-2</v>
      </c>
      <c r="D24" s="60">
        <f>BASF!E3</f>
        <v>7.9438886540478759E-2</v>
      </c>
      <c r="E24" s="60">
        <f>BASF!F3</f>
        <v>8.98404016490469E-2</v>
      </c>
      <c r="F24" s="60">
        <f>BASF!G3</f>
        <v>7.0249136962941397E-2</v>
      </c>
      <c r="G24" s="60">
        <f>BASF!H3</f>
        <v>6.911981398618415E-2</v>
      </c>
      <c r="H24" s="60">
        <f>BASF!I3</f>
        <v>7.3890697736996469E-2</v>
      </c>
      <c r="I24" s="60">
        <f>BASF!J3</f>
        <v>6.1051256937642837E-2</v>
      </c>
      <c r="J24" s="60">
        <f>BASF!K3</f>
        <v>7.3935708079930496E-2</v>
      </c>
      <c r="K24" s="60">
        <f>BASF!L3</f>
        <v>0.10375185796187707</v>
      </c>
      <c r="L24" s="60">
        <f>BASF!M3</f>
        <v>8.2680172700099641E-2</v>
      </c>
      <c r="M24" s="60">
        <f>BASF!N3</f>
        <v>0.14314856025355721</v>
      </c>
    </row>
    <row r="25" spans="1:13" x14ac:dyDescent="0.25">
      <c r="A25" t="s">
        <v>43</v>
      </c>
      <c r="B25" s="60">
        <f>Thyssen!C3</f>
        <v>4.2600980795867181E-2</v>
      </c>
      <c r="C25" s="60">
        <f>Thyssen!D3</f>
        <v>-4.6175085669205924E-2</v>
      </c>
      <c r="D25" s="60">
        <f>Thyssen!E3</f>
        <v>2.1749841627366789E-2</v>
      </c>
      <c r="E25" s="60">
        <f>Thyssen!F3</f>
        <v>-3.6319563268964392E-2</v>
      </c>
      <c r="F25" s="60">
        <f>Thyssen!G3</f>
        <v>-0.10717398235731747</v>
      </c>
      <c r="G25" s="60">
        <f>Thyssen!H3</f>
        <v>-3.9615906691468507E-2</v>
      </c>
      <c r="H25" s="60">
        <f>Thyssen!I3</f>
        <v>4.7316315636222461E-3</v>
      </c>
      <c r="I25" s="60">
        <f>Thyssen!J3</f>
        <v>6.2649025199869096E-3</v>
      </c>
      <c r="J25" s="60">
        <f>Thyssen!K3</f>
        <v>6.8684210526315792E-3</v>
      </c>
      <c r="K25" s="60">
        <f>Thyssen!L3</f>
        <v>-1.7385932397846617E-2</v>
      </c>
      <c r="L25" s="60">
        <f>Thyssen!M3</f>
        <v>-2.8891992102855491E-4</v>
      </c>
      <c r="M25" s="60">
        <f>Thyssen!N3</f>
        <v>-6.1910658157919799E-3</v>
      </c>
    </row>
    <row r="26" spans="1:13" x14ac:dyDescent="0.25">
      <c r="A26" t="s">
        <v>44</v>
      </c>
      <c r="B26" s="60">
        <f>Siemens!C3</f>
        <v>8.4596921396438485E-2</v>
      </c>
      <c r="C26" s="60">
        <f>Siemens!D3</f>
        <v>3.5644440637802803E-2</v>
      </c>
      <c r="D26" s="60">
        <f>Siemens!E3</f>
        <v>5.9103853083047594E-2</v>
      </c>
      <c r="E26" s="60">
        <f>Siemens!F3</f>
        <v>8.626407369498465E-2</v>
      </c>
      <c r="F26" s="60">
        <f>Siemens!G3</f>
        <v>5.8623684479411464E-2</v>
      </c>
      <c r="G26" s="60">
        <f>Siemens!H3</f>
        <v>6.0031315950711414E-2</v>
      </c>
      <c r="H26" s="60">
        <f>Siemens!I3</f>
        <v>7.73161862776756E-2</v>
      </c>
      <c r="I26" s="60">
        <f>Siemens!J3</f>
        <v>9.757258448357925E-2</v>
      </c>
      <c r="J26" s="60">
        <f>Siemens!K3</f>
        <v>7.0111998392848179E-2</v>
      </c>
      <c r="K26" s="60">
        <f>Siemens!L3</f>
        <v>7.3543077127306525E-2</v>
      </c>
      <c r="L26" s="60">
        <f>Siemens!M3</f>
        <v>7.3695872067819468E-2</v>
      </c>
      <c r="M26" s="60">
        <f>Siemens!N3</f>
        <v>6.5032412578152884E-2</v>
      </c>
    </row>
    <row r="27" spans="1:13" x14ac:dyDescent="0.25">
      <c r="A27" t="s">
        <v>45</v>
      </c>
      <c r="B27" s="60">
        <f>VW!C3</f>
        <v>4.1192183326303949E-2</v>
      </c>
      <c r="C27" s="60">
        <f>VW!D3</f>
        <v>8.6607660642474826E-3</v>
      </c>
      <c r="D27" s="60">
        <f>VW!E3</f>
        <v>5.6953694581280787E-2</v>
      </c>
      <c r="E27" s="60">
        <f>VW!F3</f>
        <v>9.9154621964766501E-2</v>
      </c>
      <c r="F27" s="60">
        <f>VW!G3</f>
        <v>0.11356370279640432</v>
      </c>
      <c r="G27" s="60">
        <f>VW!H3</f>
        <v>4.6419670367042795E-2</v>
      </c>
      <c r="H27" s="60">
        <f>VW!I3</f>
        <v>5.4668128698297916E-2</v>
      </c>
      <c r="I27" s="60">
        <f>VW!J3</f>
        <v>-6.3809238039870221E-3</v>
      </c>
      <c r="J27" s="60">
        <f>VW!K3</f>
        <v>2.4757556370732785E-2</v>
      </c>
      <c r="K27" s="60">
        <f>VW!L3</f>
        <v>4.9936832934001307E-2</v>
      </c>
      <c r="L27" s="60">
        <f>VW!M3</f>
        <v>5.1528732366895771E-2</v>
      </c>
      <c r="M27" s="60">
        <f>VW!N3</f>
        <v>5.5531365781057031E-2</v>
      </c>
    </row>
    <row r="28" spans="1:13" x14ac:dyDescent="0.25">
      <c r="A28" t="s">
        <v>46</v>
      </c>
      <c r="B28" s="60">
        <f>SAP!C3</f>
        <v>0.15965442764578833</v>
      </c>
      <c r="C28" s="60">
        <f>SAP!D3</f>
        <v>0.16398050974512743</v>
      </c>
      <c r="D28" s="60">
        <f>SAP!E3</f>
        <v>0.1454589216944801</v>
      </c>
      <c r="E28" s="60">
        <f>SAP!F3</f>
        <v>0.24148106513033091</v>
      </c>
      <c r="F28" s="60">
        <f>SAP!G3</f>
        <v>0.1727793872896505</v>
      </c>
      <c r="G28" s="60">
        <f>SAP!H3</f>
        <v>0.19774011299435029</v>
      </c>
      <c r="H28" s="60">
        <f>SAP!I3</f>
        <v>0.18678815489749431</v>
      </c>
      <c r="I28" s="60">
        <f>SAP!J3</f>
        <v>0.14697253883518491</v>
      </c>
      <c r="J28" s="60">
        <f>SAP!K3</f>
        <v>0.16471761399691778</v>
      </c>
      <c r="K28" s="60">
        <f>SAP!L3</f>
        <v>0.17245641703252207</v>
      </c>
      <c r="L28" s="60">
        <f>SAP!M3</f>
        <v>0.16545248502509308</v>
      </c>
      <c r="M28" s="60">
        <f>SAP!N3</f>
        <v>0.12230973033789425</v>
      </c>
    </row>
    <row r="29" spans="1:13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x14ac:dyDescent="0.25">
      <c r="A30" t="s">
        <v>56</v>
      </c>
      <c r="B30" s="60">
        <f>BASF!C8</f>
        <v>0.10373330765279917</v>
      </c>
      <c r="C30" s="60">
        <f>BASF!D8</f>
        <v>7.2534669480993436E-2</v>
      </c>
      <c r="D30" s="60">
        <f>BASF!E8</f>
        <v>0.12150673993706261</v>
      </c>
      <c r="E30" s="60">
        <f>BASF!F8</f>
        <v>0.11682109473856075</v>
      </c>
      <c r="F30" s="60">
        <f>BASF!G8</f>
        <v>9.3471419262709868E-2</v>
      </c>
      <c r="G30" s="60">
        <f>BASF!H8</f>
        <v>9.6792072783312824E-2</v>
      </c>
      <c r="H30" s="60">
        <f>BASF!I8</f>
        <v>0.10260205042649947</v>
      </c>
      <c r="I30" s="60">
        <f>BASF!J8</f>
        <v>8.8688270947777828E-2</v>
      </c>
      <c r="J30" s="60">
        <f>BASF!K8</f>
        <v>0.10903562119895743</v>
      </c>
      <c r="K30" s="60">
        <f>BASF!L8</f>
        <v>0.12392401548437679</v>
      </c>
      <c r="L30" s="60">
        <f>BASF!M8</f>
        <v>9.9236134174692792E-2</v>
      </c>
      <c r="M30" s="60">
        <f>BASF!N8</f>
        <v>6.8312091172702136E-2</v>
      </c>
    </row>
    <row r="31" spans="1:13" x14ac:dyDescent="0.25">
      <c r="A31" t="s">
        <v>60</v>
      </c>
      <c r="B31" s="60">
        <f>Thyssen!C8</f>
        <v>6.6858832778048147E-2</v>
      </c>
      <c r="C31" s="60">
        <f>Thyssen!D8</f>
        <v>-4.0997953800261319E-2</v>
      </c>
      <c r="D31" s="60">
        <f>Thyssen!E8</f>
        <v>3.1580676192487271E-2</v>
      </c>
      <c r="E31" s="60">
        <f>Thyssen!F8</f>
        <v>-2.0125478693066079E-2</v>
      </c>
      <c r="F31" s="60">
        <f>Thyssen!G8</f>
        <v>-9.2889786374747582E-2</v>
      </c>
      <c r="G31" s="60">
        <f>Thyssen!H8</f>
        <v>-1.3875622140666634E-2</v>
      </c>
      <c r="H31" s="60">
        <f>Thyssen!I8</f>
        <v>2.7783169950499856E-2</v>
      </c>
      <c r="I31" s="60">
        <f>Thyssen!J8</f>
        <v>2.4545327037262143E-2</v>
      </c>
      <c r="J31" s="60">
        <f>Thyssen!K8</f>
        <v>3.1815789473684214E-2</v>
      </c>
      <c r="K31" s="60">
        <f>Thyssen!L8</f>
        <v>2.0357132350778101E-2</v>
      </c>
      <c r="L31" s="60">
        <f>Thyssen!M8</f>
        <v>2.1693070737227333E-2</v>
      </c>
      <c r="M31" s="60">
        <f>Thyssen!N8</f>
        <v>6.3339365653871799E-3</v>
      </c>
    </row>
    <row r="32" spans="1:13" x14ac:dyDescent="0.25">
      <c r="A32" t="s">
        <v>57</v>
      </c>
      <c r="B32" s="60">
        <f>Siemens!C8</f>
        <v>3.5816433591560427E-2</v>
      </c>
      <c r="C32" s="60">
        <f>Siemens!D8</f>
        <v>9.0602829286397443E-2</v>
      </c>
      <c r="D32" s="60">
        <f>Siemens!E8</f>
        <v>8.5953391061777185E-2</v>
      </c>
      <c r="E32" s="60">
        <f>Siemens!F8</f>
        <v>0.11278062094848175</v>
      </c>
      <c r="F32" s="60">
        <f>Siemens!G8</f>
        <v>8.995350975784204E-2</v>
      </c>
      <c r="G32" s="60">
        <f>Siemens!H8</f>
        <v>0.10774048607801756</v>
      </c>
      <c r="H32" s="60">
        <f>Siemens!I8</f>
        <v>0.10350007721790894</v>
      </c>
      <c r="I32" s="60">
        <f>Siemens!J8</f>
        <v>0.12586598974033528</v>
      </c>
      <c r="J32" s="60">
        <f>Siemens!K8</f>
        <v>9.4231831650846268E-2</v>
      </c>
      <c r="K32" s="60">
        <f>Siemens!L8</f>
        <v>9.1367679181299247E-2</v>
      </c>
      <c r="L32" s="60">
        <f>Siemens!M8</f>
        <v>7.4538798709118059E-2</v>
      </c>
      <c r="M32" s="60">
        <f>Siemens!N8</f>
        <v>7.9586408594226762E-2</v>
      </c>
    </row>
    <row r="33" spans="1:13" x14ac:dyDescent="0.25">
      <c r="A33" t="s">
        <v>58</v>
      </c>
      <c r="B33" s="60">
        <f>VW!C8</f>
        <v>5.564635175031632E-2</v>
      </c>
      <c r="C33" s="60">
        <f>VW!D8</f>
        <v>1.7635259109966061E-2</v>
      </c>
      <c r="D33" s="60">
        <f>VW!E8</f>
        <v>5.6283743842364529E-2</v>
      </c>
      <c r="E33" s="60">
        <f>VW!F8</f>
        <v>7.0736865888023498E-2</v>
      </c>
      <c r="F33" s="60">
        <f>VW!G8</f>
        <v>5.9675309846581828E-2</v>
      </c>
      <c r="G33" s="60">
        <f>VW!H8</f>
        <v>5.9241549792646959E-2</v>
      </c>
      <c r="H33" s="60">
        <f>VW!I8</f>
        <v>6.2714241966234971E-2</v>
      </c>
      <c r="I33" s="60">
        <f>VW!J8</f>
        <v>-1.9077133694653338E-2</v>
      </c>
      <c r="J33" s="60">
        <f>VW!K8</f>
        <v>3.2692493567822084E-2</v>
      </c>
      <c r="K33" s="60">
        <f>VW!L8</f>
        <v>6.019603572206491E-2</v>
      </c>
      <c r="L33" s="60">
        <f>VW!M8</f>
        <v>5.9020814164995397E-2</v>
      </c>
      <c r="M33" s="60">
        <f>VW!N8</f>
        <v>6.7137179771367045E-2</v>
      </c>
    </row>
    <row r="34" spans="1:13" x14ac:dyDescent="0.25">
      <c r="A34" t="s">
        <v>59</v>
      </c>
      <c r="B34" s="60">
        <f>SAP!C8</f>
        <v>0.28518358531317495</v>
      </c>
      <c r="C34" s="60">
        <f>SAP!D8</f>
        <v>0.27426911544227889</v>
      </c>
      <c r="D34" s="60">
        <f>SAP!E8</f>
        <v>0.31667201540436457</v>
      </c>
      <c r="E34" s="60">
        <f>SAP!F8</f>
        <v>0.34314620951310337</v>
      </c>
      <c r="F34" s="60">
        <f>SAP!G8</f>
        <v>0.24909079701658141</v>
      </c>
      <c r="G34" s="60">
        <f>SAP!H8</f>
        <v>0.26636931311329171</v>
      </c>
      <c r="H34" s="60">
        <f>SAP!I8</f>
        <v>0.24664009111617313</v>
      </c>
      <c r="I34" s="60">
        <f>SAP!J8</f>
        <v>0.20449189631125861</v>
      </c>
      <c r="J34" s="60">
        <f>SAP!K8</f>
        <v>0.232753150213036</v>
      </c>
      <c r="K34" s="60">
        <f>SAP!L8</f>
        <v>0.20787690209283491</v>
      </c>
      <c r="L34" s="60">
        <f>SAP!M8</f>
        <v>0.23081593006313744</v>
      </c>
      <c r="M34" s="60">
        <f>SAP!N8</f>
        <v>0.16234166878379849</v>
      </c>
    </row>
    <row r="35" spans="1:13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x14ac:dyDescent="0.25">
      <c r="A36" t="s">
        <v>48</v>
      </c>
      <c r="B36" s="60">
        <f>Bayer!C2</f>
        <v>0.1024909339516081</v>
      </c>
      <c r="C36" s="60">
        <f>Bayer!D2</f>
        <v>8.3170134638922893E-2</v>
      </c>
      <c r="D36" s="60">
        <f>Bayer!E2</f>
        <v>6.9125639807925701E-2</v>
      </c>
      <c r="E36" s="60">
        <f>Bayer!F2</f>
        <v>0.13071549534292973</v>
      </c>
      <c r="F36" s="60">
        <f>Bayer!G2</f>
        <v>0.12469513777178143</v>
      </c>
      <c r="G36" s="60">
        <f>Bayer!H2</f>
        <v>0.17157628305239916</v>
      </c>
      <c r="H36" s="60">
        <f>Bayer!I2</f>
        <v>0.16549701980388387</v>
      </c>
      <c r="I36" s="60">
        <f>Bayer!J2</f>
        <v>0.20269067167870214</v>
      </c>
      <c r="J36" s="60">
        <f>Bayer!K2</f>
        <v>0.18966398113578306</v>
      </c>
      <c r="K36" s="60">
        <f>Bayer!L2</f>
        <v>0.25375427156158886</v>
      </c>
      <c r="L36" s="60">
        <f>Bayer!M2</f>
        <v>4.641762296193809E-2</v>
      </c>
      <c r="M36" s="60">
        <f>Bayer!N2</f>
        <v>8.9061281095605446E-2</v>
      </c>
    </row>
    <row r="37" spans="1:13" x14ac:dyDescent="0.25">
      <c r="A37" t="s">
        <v>49</v>
      </c>
      <c r="B37" s="60">
        <f>Bayer!C7</f>
        <v>0.10360603978775963</v>
      </c>
      <c r="C37" s="60">
        <f>Bayer!D7</f>
        <v>8.599259079141218E-2</v>
      </c>
      <c r="D37" s="60">
        <f>Bayer!E7</f>
        <v>8.0563056084281354E-2</v>
      </c>
      <c r="E37" s="60">
        <f>Bayer!F7</f>
        <v>0.12018597106151239</v>
      </c>
      <c r="F37" s="60">
        <f>Bayer!G7</f>
        <v>0.11297420115620237</v>
      </c>
      <c r="G37" s="60">
        <f>Bayer!H7</f>
        <v>0.14446754311480689</v>
      </c>
      <c r="H37" s="60">
        <f>Bayer!I7</f>
        <v>0.12654516454389791</v>
      </c>
      <c r="I37" s="60">
        <f>Bayer!J7</f>
        <v>0.11980496419864473</v>
      </c>
      <c r="J37" s="60">
        <f>Bayer!K7</f>
        <v>0.10255310402759533</v>
      </c>
      <c r="K37" s="60">
        <f>Bayer!L7</f>
        <v>0.1125184655706457</v>
      </c>
      <c r="L37" s="60">
        <f>Bayer!M7</f>
        <v>7.3784459673790367E-2</v>
      </c>
      <c r="M37" s="60">
        <f>Bayer!N7</f>
        <v>4.6788524581008704E-2</v>
      </c>
    </row>
    <row r="38" spans="1:13" x14ac:dyDescent="0.25">
      <c r="A38" t="s">
        <v>50</v>
      </c>
      <c r="B38" s="60">
        <f>Bayer!C11</f>
        <v>8.6845968333857604E-2</v>
      </c>
      <c r="C38" s="60">
        <f>Bayer!D11</f>
        <v>6.8869110216225923E-2</v>
      </c>
      <c r="D38" s="60">
        <f>Bayer!E11</f>
        <v>6.3073079488822903E-2</v>
      </c>
      <c r="E38" s="60">
        <f>Bayer!F11</f>
        <v>8.7516589897728161E-2</v>
      </c>
      <c r="F38" s="60">
        <f>Bayer!G11</f>
        <v>8.3256874721472196E-2</v>
      </c>
      <c r="G38" s="60">
        <f>Bayer!H11</f>
        <v>0.12879467573684</v>
      </c>
      <c r="H38" s="60">
        <f>Bayer!I11</f>
        <v>0.10996863970628408</v>
      </c>
      <c r="I38" s="60">
        <f>Bayer!J11</f>
        <v>0.10831539532948646</v>
      </c>
      <c r="J38" s="60">
        <f>Bayer!K11</f>
        <v>9.1045228159913852E-2</v>
      </c>
      <c r="K38" s="60">
        <f>Bayer!L11</f>
        <v>8.6325270074070426E-2</v>
      </c>
      <c r="L38" s="60">
        <f>Bayer!M11</f>
        <v>4.2029339538950106E-2</v>
      </c>
      <c r="M38" s="60">
        <f>Bayer!N11</f>
        <v>4.6628951816749788E-2</v>
      </c>
    </row>
    <row r="39" spans="1:13" x14ac:dyDescent="0.25">
      <c r="A39" t="s">
        <v>51</v>
      </c>
      <c r="B39" s="60">
        <f>Bayer!C12</f>
        <v>4.5192408514207826E-2</v>
      </c>
      <c r="C39" s="60">
        <f>Bayer!D12</f>
        <v>3.4857773103855134E-2</v>
      </c>
      <c r="D39" s="60">
        <f>Bayer!E12</f>
        <v>3.4270316935030277E-2</v>
      </c>
      <c r="E39" s="60">
        <f>Bayer!F12</f>
        <v>6.4277721393811646E-2</v>
      </c>
      <c r="F39" s="60">
        <f>Bayer!G12</f>
        <v>6.2993158046504308E-2</v>
      </c>
      <c r="G39" s="60">
        <f>Bayer!H12</f>
        <v>8.5327477000950766E-2</v>
      </c>
      <c r="H39" s="60">
        <f>Bayer!I12</f>
        <v>7.5242851054995244E-2</v>
      </c>
      <c r="I39" s="60">
        <f>Bayer!J12</f>
        <v>7.4127670350740735E-2</v>
      </c>
      <c r="J39" s="60">
        <f>Bayer!K12</f>
        <v>8.1202046035805622E-2</v>
      </c>
      <c r="K39" s="60">
        <f>Bayer!L12</f>
        <v>0.1327853926224869</v>
      </c>
      <c r="L39" s="60">
        <f>Bayer!M12</f>
        <v>2.1998225742166908E-2</v>
      </c>
      <c r="M39" s="60">
        <f>Bayer!N12</f>
        <v>4.3017955548112601E-2</v>
      </c>
    </row>
    <row r="40" spans="1:13" x14ac:dyDescent="0.25">
      <c r="A40" t="s">
        <v>52</v>
      </c>
      <c r="B40" s="60">
        <f>Bayer!C3</f>
        <v>5.2372562124065859E-2</v>
      </c>
      <c r="C40" s="60">
        <f>Bayer!D3</f>
        <v>4.3602412731006158E-2</v>
      </c>
      <c r="D40" s="60">
        <f>Bayer!E3</f>
        <v>3.7334701322389419E-2</v>
      </c>
      <c r="E40" s="60">
        <f>Bayer!F3</f>
        <v>6.7619360490582564E-2</v>
      </c>
      <c r="F40" s="60">
        <f>Bayer!G3</f>
        <v>6.0466520721672828E-2</v>
      </c>
      <c r="G40" s="60">
        <f>Bayer!H3</f>
        <v>7.9338596010658166E-2</v>
      </c>
      <c r="H40" s="60">
        <f>Bayer!I3</f>
        <v>8.328696872203005E-2</v>
      </c>
      <c r="I40" s="60">
        <f>Bayer!J3</f>
        <v>8.8922642942389066E-2</v>
      </c>
      <c r="J40" s="60">
        <f>Bayer!K3</f>
        <v>0.13811063732364137</v>
      </c>
      <c r="K40" s="60">
        <f>Bayer!L3</f>
        <v>0.23115807511066686</v>
      </c>
      <c r="L40" s="60">
        <f>Bayer!M3</f>
        <v>4.6567960372325946E-2</v>
      </c>
      <c r="M40" s="60">
        <f>Bayer!N3</f>
        <v>9.4385118842576651E-2</v>
      </c>
    </row>
    <row r="41" spans="1:13" x14ac:dyDescent="0.25">
      <c r="A41" t="s">
        <v>53</v>
      </c>
      <c r="B41" s="60">
        <f>Bayer!C8</f>
        <v>0.107661461814205</v>
      </c>
      <c r="C41" s="60">
        <f>Bayer!D8</f>
        <v>9.6445071868583157E-2</v>
      </c>
      <c r="D41" s="60">
        <f>Bayer!E8</f>
        <v>7.7804377564979474E-2</v>
      </c>
      <c r="E41" s="60">
        <f>Bayer!F8</f>
        <v>0.11358409986859395</v>
      </c>
      <c r="F41" s="60">
        <f>Bayer!G8</f>
        <v>9.8839988928310807E-2</v>
      </c>
      <c r="G41" s="60">
        <f>Bayer!H8</f>
        <v>0.12286774410439026</v>
      </c>
      <c r="H41" s="60">
        <f>Bayer!I8</f>
        <v>0.13050630155543191</v>
      </c>
      <c r="I41" s="60">
        <f>Bayer!J8</f>
        <v>0.13542367364652272</v>
      </c>
      <c r="J41" s="60">
        <f>Bayer!K8</f>
        <v>0.16421028532180981</v>
      </c>
      <c r="K41" s="60">
        <f>Bayer!L8</f>
        <v>0.16858489218906184</v>
      </c>
      <c r="L41" s="60">
        <f>Bayer!M8</f>
        <v>0.13611126231560611</v>
      </c>
      <c r="M41" s="60">
        <f>Bayer!N8</f>
        <v>9.6199334022275804E-2</v>
      </c>
    </row>
  </sheetData>
  <pageMargins left="0.7" right="0.7" top="0.78740157499999996" bottom="0.78740157499999996" header="0.3" footer="0.3"/>
  <pageSetup paperSize="9" scale="80" orientation="landscape" r:id="rId1"/>
  <headerFooter>
    <oddFooter>&amp;L&amp;9DT &lt;&amp;F/&amp;A&gt; 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N20"/>
  <sheetViews>
    <sheetView showGridLines="0" zoomScaleNormal="100" workbookViewId="0"/>
  </sheetViews>
  <sheetFormatPr baseColWidth="10" defaultColWidth="11.42578125" defaultRowHeight="16.5" x14ac:dyDescent="0.3"/>
  <cols>
    <col min="1" max="1" width="10.42578125" style="61" customWidth="1"/>
    <col min="2" max="2" width="7" style="67" customWidth="1"/>
    <col min="3" max="7" width="11.42578125" style="66"/>
    <col min="8" max="16384" width="11.42578125" style="61"/>
  </cols>
  <sheetData>
    <row r="1" spans="1:14" x14ac:dyDescent="0.3">
      <c r="C1" s="140">
        <v>2008</v>
      </c>
      <c r="D1" s="141">
        <v>2009</v>
      </c>
      <c r="E1" s="141">
        <v>2010</v>
      </c>
      <c r="F1" s="141">
        <v>2011</v>
      </c>
      <c r="G1" s="142">
        <v>2012</v>
      </c>
      <c r="H1" s="140">
        <v>2013</v>
      </c>
      <c r="I1" s="141">
        <v>2014</v>
      </c>
      <c r="J1" s="141">
        <v>2015</v>
      </c>
      <c r="K1" s="141">
        <v>2016</v>
      </c>
      <c r="L1" s="142">
        <v>2017</v>
      </c>
      <c r="M1" s="140">
        <v>2018</v>
      </c>
      <c r="N1" s="142">
        <v>2019</v>
      </c>
    </row>
    <row r="2" spans="1:14" x14ac:dyDescent="0.3">
      <c r="A2" s="183" t="s">
        <v>12</v>
      </c>
      <c r="B2" s="68" t="s">
        <v>10</v>
      </c>
      <c r="C2" s="62">
        <f>BASF!C8</f>
        <v>0.10373330765279917</v>
      </c>
      <c r="D2" s="166">
        <f>BASF!D8</f>
        <v>7.2534669480993436E-2</v>
      </c>
      <c r="E2" s="63">
        <f>BASF!E8</f>
        <v>0.12150673993706261</v>
      </c>
      <c r="F2" s="63">
        <f>BASF!F8</f>
        <v>0.11682109473856075</v>
      </c>
      <c r="G2" s="64">
        <f>BASF!G8</f>
        <v>9.3471419262709868E-2</v>
      </c>
      <c r="H2" s="63">
        <f>BASF!H8</f>
        <v>9.6792072783312824E-2</v>
      </c>
      <c r="I2" s="63">
        <f>BASF!I8</f>
        <v>0.10260205042649947</v>
      </c>
      <c r="J2" s="63">
        <f>BASF!J8</f>
        <v>8.8688270947777828E-2</v>
      </c>
      <c r="K2" s="63">
        <f>BASF!K8</f>
        <v>0.10903562119895743</v>
      </c>
      <c r="L2" s="64">
        <f>BASF!L8</f>
        <v>0.12392401548437679</v>
      </c>
      <c r="M2" s="64">
        <f>BASF!M8</f>
        <v>9.9236134174692792E-2</v>
      </c>
      <c r="N2" s="165">
        <f>BASF!N8</f>
        <v>6.8312091172702136E-2</v>
      </c>
    </row>
    <row r="3" spans="1:14" x14ac:dyDescent="0.3">
      <c r="A3" s="184"/>
      <c r="B3" s="69" t="s">
        <v>30</v>
      </c>
      <c r="C3" s="71">
        <f>BASF!C9</f>
        <v>2.2362843452199352</v>
      </c>
      <c r="D3" s="96">
        <f>BASF!D9</f>
        <v>1.7366563891743747</v>
      </c>
      <c r="E3" s="72">
        <f>BASF!E9</f>
        <v>1.9656254808432065</v>
      </c>
      <c r="F3" s="72">
        <f>BASF!F9</f>
        <v>2.0611643950866565</v>
      </c>
      <c r="G3" s="73">
        <f>BASF!G9</f>
        <v>1.941221589762222</v>
      </c>
      <c r="H3" s="72">
        <f>BASF!H9</f>
        <v>1.9095473495359914</v>
      </c>
      <c r="I3" s="96">
        <f>BASF!I9</f>
        <v>1.7525170356747071</v>
      </c>
      <c r="J3" s="96">
        <f>BASF!J9</f>
        <v>1.5442399798336275</v>
      </c>
      <c r="K3" s="96">
        <f>BASF!K9</f>
        <v>1.19504952551031</v>
      </c>
      <c r="L3" s="97">
        <f>BASF!L9</f>
        <v>1.2529393105283084</v>
      </c>
      <c r="M3" s="97">
        <f>BASF!M9</f>
        <v>1.1300855727368262</v>
      </c>
      <c r="N3" s="97">
        <f>BASF!N9</f>
        <v>1.0819151846785227</v>
      </c>
    </row>
    <row r="4" spans="1:14" x14ac:dyDescent="0.3">
      <c r="A4" s="185"/>
      <c r="B4" s="70" t="s">
        <v>9</v>
      </c>
      <c r="C4" s="152">
        <f>BASF!C7</f>
        <v>0.23197717198183809</v>
      </c>
      <c r="D4" s="155">
        <f>BASF!D7</f>
        <v>0.12596779719081877</v>
      </c>
      <c r="E4" s="153">
        <f>BASF!E7</f>
        <v>0.23883674411447914</v>
      </c>
      <c r="F4" s="153">
        <f>BASF!F7</f>
        <v>0.24078748107016659</v>
      </c>
      <c r="G4" s="154">
        <f>BASF!G7</f>
        <v>0.18144873709848883</v>
      </c>
      <c r="H4" s="153">
        <f>BASF!H7</f>
        <v>0.18482904603946979</v>
      </c>
      <c r="I4" s="153">
        <f>BASF!I7</f>
        <v>0.17981184126759567</v>
      </c>
      <c r="J4" s="155">
        <f>BASF!J7</f>
        <v>0.13695597373987572</v>
      </c>
      <c r="K4" s="155">
        <f>BASF!K7</f>
        <v>0.13030296737753597</v>
      </c>
      <c r="L4" s="151">
        <f>BASF!L7</f>
        <v>0.15526927051889447</v>
      </c>
      <c r="M4" s="151">
        <f>BASF!M7</f>
        <v>0.11214532352499625</v>
      </c>
      <c r="N4" s="108">
        <f>BASF!N7</f>
        <v>7.3907888736890109E-2</v>
      </c>
    </row>
    <row r="5" spans="1:14" x14ac:dyDescent="0.3">
      <c r="A5" s="183" t="s">
        <v>47</v>
      </c>
      <c r="B5" s="68" t="s">
        <v>10</v>
      </c>
      <c r="C5" s="62">
        <f>Bayer!C8</f>
        <v>0.107661461814205</v>
      </c>
      <c r="D5" s="63">
        <f>Bayer!D8</f>
        <v>9.6445071868583157E-2</v>
      </c>
      <c r="E5" s="63">
        <f>Bayer!E8</f>
        <v>7.7804377564979474E-2</v>
      </c>
      <c r="F5" s="63">
        <f>Bayer!F8</f>
        <v>0.11358409986859395</v>
      </c>
      <c r="G5" s="64">
        <f>Bayer!G8</f>
        <v>9.8839988928310807E-2</v>
      </c>
      <c r="H5" s="63">
        <f>Bayer!H8</f>
        <v>0.12286774410439026</v>
      </c>
      <c r="I5" s="63">
        <f>Bayer!I8</f>
        <v>0.13050630155543191</v>
      </c>
      <c r="J5" s="63">
        <f>Bayer!J8</f>
        <v>0.13542367364652272</v>
      </c>
      <c r="K5" s="63">
        <f>Bayer!K8</f>
        <v>0.16421028532180981</v>
      </c>
      <c r="L5" s="64">
        <f>Bayer!L8</f>
        <v>0.16858489218906184</v>
      </c>
      <c r="M5" s="63">
        <f>Bayer!M8</f>
        <v>0.13611126231560611</v>
      </c>
      <c r="N5" s="143">
        <f>Bayer!N8</f>
        <v>9.6199334022275804E-2</v>
      </c>
    </row>
    <row r="6" spans="1:14" x14ac:dyDescent="0.3">
      <c r="A6" s="184"/>
      <c r="B6" s="69" t="s">
        <v>30</v>
      </c>
      <c r="C6" s="71">
        <f>Bayer!C9</f>
        <v>0.96233172057942207</v>
      </c>
      <c r="D6" s="72">
        <f>Bayer!D9</f>
        <v>0.89162244503883403</v>
      </c>
      <c r="E6" s="72">
        <f>Bayer!E9</f>
        <v>1.03545659776017</v>
      </c>
      <c r="F6" s="72">
        <f>Bayer!F9</f>
        <v>1.0581231985863881</v>
      </c>
      <c r="G6" s="73">
        <f>Bayer!G9</f>
        <v>1.1430009491213438</v>
      </c>
      <c r="H6" s="72">
        <f>Bayer!H9</f>
        <v>1.1757971481275438</v>
      </c>
      <c r="I6" s="72">
        <f>Bayer!I9</f>
        <v>0.96964792531606969</v>
      </c>
      <c r="J6" s="72">
        <f>Bayer!J9</f>
        <v>0.88466780565527037</v>
      </c>
      <c r="K6" s="118">
        <f>Bayer!K9</f>
        <v>0.62452302440506513</v>
      </c>
      <c r="L6" s="119">
        <f>Bayer!L9</f>
        <v>0.66742911603526334</v>
      </c>
      <c r="M6" s="118">
        <f>Bayer!M9</f>
        <v>0.54208930560575996</v>
      </c>
      <c r="N6" s="145">
        <f>Bayer!N9</f>
        <v>0.48637056645500693</v>
      </c>
    </row>
    <row r="7" spans="1:14" x14ac:dyDescent="0.3">
      <c r="A7" s="185"/>
      <c r="B7" s="70" t="s">
        <v>9</v>
      </c>
      <c r="C7" s="167">
        <f>Bayer!C7</f>
        <v>0.10360603978775963</v>
      </c>
      <c r="D7" s="107">
        <f>Bayer!D7</f>
        <v>8.599259079141218E-2</v>
      </c>
      <c r="E7" s="107">
        <f>Bayer!E7</f>
        <v>8.0563056084281354E-2</v>
      </c>
      <c r="F7" s="155">
        <f>Bayer!F7</f>
        <v>0.12018597106151239</v>
      </c>
      <c r="G7" s="151">
        <f>Bayer!G7</f>
        <v>0.11297420115620237</v>
      </c>
      <c r="H7" s="155">
        <f>Bayer!H7</f>
        <v>0.14446754311480689</v>
      </c>
      <c r="I7" s="155">
        <f>Bayer!I7</f>
        <v>0.12654516454389791</v>
      </c>
      <c r="J7" s="155">
        <f>Bayer!J7</f>
        <v>0.11980496419864473</v>
      </c>
      <c r="K7" s="155">
        <f>Bayer!K7</f>
        <v>0.10255310402759533</v>
      </c>
      <c r="L7" s="151">
        <f>Bayer!L7</f>
        <v>0.1125184655706457</v>
      </c>
      <c r="M7" s="107">
        <f>Bayer!M7</f>
        <v>7.3784459673790367E-2</v>
      </c>
      <c r="N7" s="156">
        <f>Bayer!N7</f>
        <v>4.6788524581008704E-2</v>
      </c>
    </row>
    <row r="8" spans="1:14" x14ac:dyDescent="0.3">
      <c r="A8" s="183" t="s">
        <v>25</v>
      </c>
      <c r="B8" s="68" t="s">
        <v>10</v>
      </c>
      <c r="C8" s="115">
        <f>SAP!C8</f>
        <v>0.28518358531317495</v>
      </c>
      <c r="D8" s="116">
        <f>SAP!D8</f>
        <v>0.27426911544227889</v>
      </c>
      <c r="E8" s="116">
        <f>SAP!E8</f>
        <v>0.31667201540436457</v>
      </c>
      <c r="F8" s="116">
        <f>SAP!F8</f>
        <v>0.34314620951310337</v>
      </c>
      <c r="G8" s="117">
        <f>SAP!G8</f>
        <v>0.24909079701658141</v>
      </c>
      <c r="H8" s="116">
        <f>SAP!H8</f>
        <v>0.26636931311329171</v>
      </c>
      <c r="I8" s="116">
        <f>SAP!I8</f>
        <v>0.24664009111617313</v>
      </c>
      <c r="J8" s="116">
        <f>SAP!J8</f>
        <v>0.20449189631125861</v>
      </c>
      <c r="K8" s="116">
        <f>SAP!K8</f>
        <v>0.232753150213036</v>
      </c>
      <c r="L8" s="117">
        <f>SAP!L8</f>
        <v>0.20787690209283491</v>
      </c>
      <c r="M8" s="117">
        <f>SAP!M8</f>
        <v>0.23081593006313744</v>
      </c>
      <c r="N8" s="150">
        <f>SAP!N8</f>
        <v>0.16234166878379849</v>
      </c>
    </row>
    <row r="9" spans="1:14" x14ac:dyDescent="0.3">
      <c r="A9" s="184"/>
      <c r="B9" s="69" t="s">
        <v>30</v>
      </c>
      <c r="C9" s="158">
        <f>SAP!C9</f>
        <v>1.8815019505851756</v>
      </c>
      <c r="D9" s="146">
        <f>SAP!D9</f>
        <v>1.4416751097602161</v>
      </c>
      <c r="E9" s="146">
        <f>SAP!E9</f>
        <v>1.4702447655558832</v>
      </c>
      <c r="F9" s="146">
        <f>SAP!F9</f>
        <v>1.352175565266958</v>
      </c>
      <c r="G9" s="112">
        <f>SAP!G9</f>
        <v>1.2133881824981301</v>
      </c>
      <c r="H9" s="96">
        <f>SAP!H9</f>
        <v>1.0341964450458208</v>
      </c>
      <c r="I9" s="98">
        <f>SAP!I9</f>
        <v>0.82598367788518079</v>
      </c>
      <c r="J9" s="98">
        <f>SAP!J9</f>
        <v>0.7751351351351351</v>
      </c>
      <c r="K9" s="98">
        <f>SAP!K9</f>
        <v>0.78023765737728112</v>
      </c>
      <c r="L9" s="99">
        <f>SAP!L9</f>
        <v>0.85725769617246739</v>
      </c>
      <c r="M9" s="99">
        <f>SAP!M9</f>
        <v>0.88513138333124364</v>
      </c>
      <c r="N9" s="99">
        <f>SAP!N9</f>
        <v>0.82848723576991312</v>
      </c>
    </row>
    <row r="10" spans="1:14" x14ac:dyDescent="0.3">
      <c r="A10" s="185"/>
      <c r="B10" s="70" t="s">
        <v>9</v>
      </c>
      <c r="C10" s="152">
        <f>SAP!C7</f>
        <v>0.53657347204161243</v>
      </c>
      <c r="D10" s="153">
        <f>SAP!D7</f>
        <v>0.39540695710908474</v>
      </c>
      <c r="E10" s="153">
        <f>SAP!E7</f>
        <v>0.46558537304629904</v>
      </c>
      <c r="F10" s="153">
        <f>SAP!F7</f>
        <v>0.46399391981759452</v>
      </c>
      <c r="G10" s="154">
        <f>SAP!G7</f>
        <v>0.30224382946896033</v>
      </c>
      <c r="H10" s="153">
        <f>SAP!H7</f>
        <v>0.27547819669106344</v>
      </c>
      <c r="I10" s="153">
        <f>SAP!I7</f>
        <v>0.20372068957407277</v>
      </c>
      <c r="J10" s="155">
        <f>SAP!J7</f>
        <v>0.15850885368126746</v>
      </c>
      <c r="K10" s="155">
        <f>SAP!K7</f>
        <v>0.18160277266940161</v>
      </c>
      <c r="L10" s="151">
        <f>SAP!L7</f>
        <v>0.17820407417557321</v>
      </c>
      <c r="M10" s="154">
        <f>SAP!M7</f>
        <v>0.20430242347167243</v>
      </c>
      <c r="N10" s="151">
        <f>SAP!N7</f>
        <v>0.13449800042096402</v>
      </c>
    </row>
    <row r="11" spans="1:14" x14ac:dyDescent="0.3">
      <c r="A11" s="183" t="s">
        <v>23</v>
      </c>
      <c r="B11" s="68" t="s">
        <v>10</v>
      </c>
      <c r="C11" s="149">
        <f>Siemens!C8</f>
        <v>3.5816433591560427E-2</v>
      </c>
      <c r="D11" s="63">
        <f>Siemens!D8</f>
        <v>9.0602829286397443E-2</v>
      </c>
      <c r="E11" s="63">
        <f>Siemens!E8</f>
        <v>8.5953391061777185E-2</v>
      </c>
      <c r="F11" s="63">
        <f>Siemens!F8</f>
        <v>0.11278062094848175</v>
      </c>
      <c r="G11" s="64">
        <f>Siemens!G8</f>
        <v>8.995350975784204E-2</v>
      </c>
      <c r="H11" s="63">
        <f>Siemens!H8</f>
        <v>0.10774048607801756</v>
      </c>
      <c r="I11" s="63">
        <f>Siemens!I8</f>
        <v>0.10350007721790894</v>
      </c>
      <c r="J11" s="63">
        <f>Siemens!J8</f>
        <v>0.12586598974033528</v>
      </c>
      <c r="K11" s="63">
        <f>Siemens!K8</f>
        <v>9.4231831650846268E-2</v>
      </c>
      <c r="L11" s="64">
        <f>Siemens!L8</f>
        <v>9.1367679181299247E-2</v>
      </c>
      <c r="M11" s="64">
        <f>Siemens!M8</f>
        <v>7.4538798709118059E-2</v>
      </c>
      <c r="N11" s="143">
        <f>Siemens!N8</f>
        <v>7.9586408594226762E-2</v>
      </c>
    </row>
    <row r="12" spans="1:14" x14ac:dyDescent="0.3">
      <c r="A12" s="184"/>
      <c r="B12" s="69" t="s">
        <v>30</v>
      </c>
      <c r="C12" s="159">
        <f>Siemens!C9</f>
        <v>2.4877804594618755</v>
      </c>
      <c r="D12" s="160">
        <f>Siemens!D9</f>
        <v>2.6807875552494118</v>
      </c>
      <c r="E12" s="160">
        <f>Siemens!E9</f>
        <v>2.5740197086706931</v>
      </c>
      <c r="F12" s="160">
        <f>Siemens!F9</f>
        <v>2.7304231177687104</v>
      </c>
      <c r="G12" s="161">
        <f>Siemens!G9</f>
        <v>2.6922957894193904</v>
      </c>
      <c r="H12" s="160">
        <f>Siemens!H9</f>
        <v>2.3986740259316113</v>
      </c>
      <c r="I12" s="160">
        <f>Siemens!I9</f>
        <v>2.2820024028834602</v>
      </c>
      <c r="J12" s="100">
        <f>Siemens!J9</f>
        <v>2.1012334703855986</v>
      </c>
      <c r="K12" s="100">
        <f>Siemens!K9</f>
        <v>1.8748366897753086</v>
      </c>
      <c r="L12" s="101">
        <f>Siemens!L9</f>
        <v>1.6322699471097497</v>
      </c>
      <c r="M12" s="101">
        <f>Siemens!M9</f>
        <v>1.4726463442747957</v>
      </c>
      <c r="N12" s="147">
        <f>Siemens!N9</f>
        <v>1.4553299875160239</v>
      </c>
    </row>
    <row r="13" spans="1:14" x14ac:dyDescent="0.3">
      <c r="A13" s="185"/>
      <c r="B13" s="70" t="s">
        <v>9</v>
      </c>
      <c r="C13" s="65">
        <f>Siemens!C7</f>
        <v>8.9103423616697958E-2</v>
      </c>
      <c r="D13" s="153">
        <f>Siemens!D7</f>
        <v>0.2428869372213612</v>
      </c>
      <c r="E13" s="153">
        <f>Siemens!E7</f>
        <v>0.22124572262009387</v>
      </c>
      <c r="F13" s="153">
        <f>Siemens!F7</f>
        <v>0.30793881467404466</v>
      </c>
      <c r="G13" s="154">
        <f>Siemens!G7</f>
        <v>0.24218145556453416</v>
      </c>
      <c r="H13" s="153">
        <f>Siemens!H7</f>
        <v>0.25843430549658708</v>
      </c>
      <c r="I13" s="153">
        <f>Siemens!I7</f>
        <v>0.23618742490989186</v>
      </c>
      <c r="J13" s="153">
        <f>Siemens!J7</f>
        <v>0.26447383042560285</v>
      </c>
      <c r="K13" s="155">
        <f>Siemens!K7</f>
        <v>0.17666929532373676</v>
      </c>
      <c r="L13" s="151">
        <f>Siemens!L7</f>
        <v>0.1491367168647999</v>
      </c>
      <c r="M13" s="151">
        <f>Siemens!M7</f>
        <v>0.10976928942561756</v>
      </c>
      <c r="N13" s="157">
        <f>Siemens!N7</f>
        <v>0.1158244870258812</v>
      </c>
    </row>
    <row r="14" spans="1:14" ht="16.5" customHeight="1" x14ac:dyDescent="0.3">
      <c r="A14" s="183" t="s">
        <v>26</v>
      </c>
      <c r="B14" s="68" t="s">
        <v>10</v>
      </c>
      <c r="C14" s="62">
        <f>Thyssen!C8</f>
        <v>6.6858832778048147E-2</v>
      </c>
      <c r="D14" s="120">
        <f>Thyssen!D8</f>
        <v>-4.0997953800261319E-2</v>
      </c>
      <c r="E14" s="120">
        <f>Thyssen!E8</f>
        <v>3.1580676192487271E-2</v>
      </c>
      <c r="F14" s="120">
        <f>Thyssen!F8</f>
        <v>-2.0125478693066079E-2</v>
      </c>
      <c r="G14" s="121">
        <f>Thyssen!G8</f>
        <v>-9.2889786374747582E-2</v>
      </c>
      <c r="H14" s="120">
        <f>Thyssen!H8</f>
        <v>-1.3875622140666634E-2</v>
      </c>
      <c r="I14" s="120">
        <f>Thyssen!I8</f>
        <v>2.7783169950499856E-2</v>
      </c>
      <c r="J14" s="120">
        <f>Thyssen!J8</f>
        <v>2.4545327037262143E-2</v>
      </c>
      <c r="K14" s="120">
        <f>Thyssen!K8</f>
        <v>3.1815789473684214E-2</v>
      </c>
      <c r="L14" s="121">
        <f>Thyssen!L8</f>
        <v>2.0357132350778101E-2</v>
      </c>
      <c r="M14" s="121">
        <f>Thyssen!M8</f>
        <v>2.1693070737227333E-2</v>
      </c>
      <c r="N14" s="144">
        <f>Thyssen!N8</f>
        <v>6.3339365653871799E-3</v>
      </c>
    </row>
    <row r="15" spans="1:14" x14ac:dyDescent="0.3">
      <c r="A15" s="184"/>
      <c r="B15" s="69" t="s">
        <v>30</v>
      </c>
      <c r="C15" s="71">
        <f>Thyssen!C9</f>
        <v>3.0517807671436326</v>
      </c>
      <c r="D15" s="96">
        <f>Thyssen!D9</f>
        <v>2.2193467199212122</v>
      </c>
      <c r="E15" s="96">
        <f>Thyssen!E9</f>
        <v>2.1793219818990641</v>
      </c>
      <c r="F15" s="96">
        <f>Thyssen!F9</f>
        <v>2.39286410606356</v>
      </c>
      <c r="G15" s="97">
        <f>Thyssen!G9</f>
        <v>2.5418051165680633</v>
      </c>
      <c r="H15" s="96">
        <f>Thyssen!H9</f>
        <v>2.6958053804973909</v>
      </c>
      <c r="I15" s="146">
        <f>Thyssen!I9</f>
        <v>3.2269986688591339</v>
      </c>
      <c r="J15" s="146">
        <f>Thyssen!J9</f>
        <v>3.2097542674920279</v>
      </c>
      <c r="K15" s="146">
        <f>Thyssen!K9</f>
        <v>2.7591214376474857</v>
      </c>
      <c r="L15" s="97">
        <f>Thyssen!L9</f>
        <v>2.51949303290839</v>
      </c>
      <c r="M15" s="112">
        <f>Thyssen!M9</f>
        <v>3.1854891283506537</v>
      </c>
      <c r="N15" s="148">
        <f>Thyssen!N9</f>
        <v>3.0150046665230814</v>
      </c>
    </row>
    <row r="16" spans="1:14" x14ac:dyDescent="0.3">
      <c r="A16" s="185"/>
      <c r="B16" s="70" t="s">
        <v>9</v>
      </c>
      <c r="C16" s="65">
        <f>Thyssen!C7</f>
        <v>0.2040384999857196</v>
      </c>
      <c r="D16" s="105">
        <f>Thyssen!D7</f>
        <v>-9.0988674290091373E-2</v>
      </c>
      <c r="E16" s="107">
        <f>Thyssen!E7</f>
        <v>6.8824461829523953E-2</v>
      </c>
      <c r="F16" s="105">
        <f>Thyssen!F7</f>
        <v>-4.8157535581984795E-2</v>
      </c>
      <c r="G16" s="106">
        <f>Thyssen!G7</f>
        <v>-0.23610773428424778</v>
      </c>
      <c r="H16" s="105">
        <f>Thyssen!H7</f>
        <v>-3.7405976824557839E-2</v>
      </c>
      <c r="I16" s="107">
        <f>Thyssen!I7</f>
        <v>8.9656252446950122E-2</v>
      </c>
      <c r="J16" s="107">
        <f>Thyssen!J7</f>
        <v>7.8784468204839614E-2</v>
      </c>
      <c r="K16" s="107">
        <f>Thyssen!K7</f>
        <v>8.778362679252133E-2</v>
      </c>
      <c r="L16" s="108">
        <f>Thyssen!L7</f>
        <v>5.1289653127779423E-2</v>
      </c>
      <c r="M16" s="108">
        <f>Thyssen!M7</f>
        <v>6.9103040993979375E-2</v>
      </c>
      <c r="N16" s="156">
        <f>Thyssen!N7</f>
        <v>1.9096848302103526E-2</v>
      </c>
    </row>
    <row r="17" spans="1:14" x14ac:dyDescent="0.3">
      <c r="A17" s="183" t="s">
        <v>27</v>
      </c>
      <c r="B17" s="68" t="s">
        <v>10</v>
      </c>
      <c r="C17" s="62">
        <f>VW!C8</f>
        <v>5.564635175031632E-2</v>
      </c>
      <c r="D17" s="120">
        <f>VW!D8</f>
        <v>1.7635259109966061E-2</v>
      </c>
      <c r="E17" s="63">
        <f>VW!E8</f>
        <v>5.6283743842364529E-2</v>
      </c>
      <c r="F17" s="63">
        <f>VW!F8</f>
        <v>7.0736865888023498E-2</v>
      </c>
      <c r="G17" s="64">
        <f>VW!G8</f>
        <v>5.9675309846581828E-2</v>
      </c>
      <c r="H17" s="63">
        <f>VW!H8</f>
        <v>5.9241549792646959E-2</v>
      </c>
      <c r="I17" s="63">
        <f>VW!I8</f>
        <v>6.2714241966234971E-2</v>
      </c>
      <c r="J17" s="120">
        <f>VW!J8</f>
        <v>-1.9077133694653338E-2</v>
      </c>
      <c r="K17" s="120">
        <f>VW!K8</f>
        <v>3.2692493567822084E-2</v>
      </c>
      <c r="L17" s="64">
        <f>VW!L8</f>
        <v>6.019603572206491E-2</v>
      </c>
      <c r="M17" s="64">
        <f>VW!M8</f>
        <v>5.9020814164995397E-2</v>
      </c>
      <c r="N17" s="64">
        <f>VW!N8</f>
        <v>6.7137179771367045E-2</v>
      </c>
    </row>
    <row r="18" spans="1:14" x14ac:dyDescent="0.3">
      <c r="A18" s="184"/>
      <c r="B18" s="69" t="s">
        <v>30</v>
      </c>
      <c r="C18" s="71">
        <f>VW!C9</f>
        <v>2.2292127788768537</v>
      </c>
      <c r="D18" s="72">
        <f>VW!D9</f>
        <v>1.9728049363729288</v>
      </c>
      <c r="E18" s="162">
        <f>VW!E9</f>
        <v>2.497146118721461</v>
      </c>
      <c r="F18" s="162">
        <f>VW!F9</f>
        <v>2.6586297804178067</v>
      </c>
      <c r="G18" s="73">
        <f>VW!G9</f>
        <v>2.1096682360670096</v>
      </c>
      <c r="H18" s="96">
        <f>VW!H9</f>
        <v>1.5653863267965547</v>
      </c>
      <c r="I18" s="96">
        <f>VW!I9</f>
        <v>1.4154437725032334</v>
      </c>
      <c r="J18" s="96">
        <f>VW!J9</f>
        <v>1.4530863062087196</v>
      </c>
      <c r="K18" s="96">
        <f>VW!K9</f>
        <v>1.4579623006153495</v>
      </c>
      <c r="L18" s="97">
        <f>VW!L9</f>
        <v>1.3989274178804314</v>
      </c>
      <c r="M18" s="97">
        <f>VW!M9</f>
        <v>1.2942167444974291</v>
      </c>
      <c r="N18" s="97">
        <f>VW!N9</f>
        <v>1.2797292950476291</v>
      </c>
    </row>
    <row r="19" spans="1:14" x14ac:dyDescent="0.3">
      <c r="A19" s="185"/>
      <c r="B19" s="70" t="s">
        <v>9</v>
      </c>
      <c r="C19" s="65">
        <f>VW!C7</f>
        <v>0.12404755841968151</v>
      </c>
      <c r="D19" s="105">
        <f>VW!D7</f>
        <v>3.4790926226356704E-2</v>
      </c>
      <c r="E19" s="155">
        <f>VW!E7</f>
        <v>0.14054873248307354</v>
      </c>
      <c r="F19" s="155">
        <f>VW!F7</f>
        <v>0.18806313822331977</v>
      </c>
      <c r="G19" s="151">
        <f>VW!G7</f>
        <v>0.12589510566079054</v>
      </c>
      <c r="H19" s="107">
        <f>VW!H7</f>
        <v>9.2735912023646824E-2</v>
      </c>
      <c r="I19" s="107">
        <f>VW!I7</f>
        <v>8.8768483238368237E-2</v>
      </c>
      <c r="J19" s="105">
        <f>VW!J7</f>
        <v>-2.7720721733413722E-2</v>
      </c>
      <c r="K19" s="105">
        <f>VW!K7</f>
        <v>4.7664423134994395E-2</v>
      </c>
      <c r="L19" s="108">
        <f>VW!L7</f>
        <v>8.4209884819306483E-2</v>
      </c>
      <c r="M19" s="108">
        <f>VW!M7</f>
        <v>7.6385725966208101E-2</v>
      </c>
      <c r="N19" s="108">
        <f>VW!N7</f>
        <v>8.5917415740297501E-2</v>
      </c>
    </row>
    <row r="20" spans="1:14" x14ac:dyDescent="0.3">
      <c r="A20" s="74" t="s">
        <v>93</v>
      </c>
    </row>
  </sheetData>
  <mergeCells count="6">
    <mergeCell ref="A2:A4"/>
    <mergeCell ref="A8:A10"/>
    <mergeCell ref="A11:A13"/>
    <mergeCell ref="A14:A16"/>
    <mergeCell ref="A17:A19"/>
    <mergeCell ref="A5:A7"/>
  </mergeCells>
  <pageMargins left="0.7" right="0.7" top="0.78740157499999996" bottom="0.78740157499999996" header="0.3" footer="0.3"/>
  <pageSetup paperSize="9" scale="84" orientation="landscape" r:id="rId1"/>
  <headerFooter>
    <oddFooter>&amp;L&amp;9DT &lt;&amp;F/&amp;A&gt;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Diagramme</vt:lpstr>
      </vt:variant>
      <vt:variant>
        <vt:i4>2</vt:i4>
      </vt:variant>
    </vt:vector>
  </HeadingPairs>
  <TitlesOfParts>
    <vt:vector size="10" baseType="lpstr">
      <vt:lpstr>BASF</vt:lpstr>
      <vt:lpstr>Thyssen</vt:lpstr>
      <vt:lpstr>Siemens</vt:lpstr>
      <vt:lpstr>VW</vt:lpstr>
      <vt:lpstr>SAP</vt:lpstr>
      <vt:lpstr>Bayer</vt:lpstr>
      <vt:lpstr>Chart Data</vt:lpstr>
      <vt:lpstr>ROCE-Zerlegung</vt:lpstr>
      <vt:lpstr>ROCE</vt:lpstr>
      <vt:lpstr>EBITA margin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Truxius</dc:creator>
  <cp:lastModifiedBy>Dieter Truxius</cp:lastModifiedBy>
  <cp:lastPrinted>2020-04-29T10:20:30Z</cp:lastPrinted>
  <dcterms:created xsi:type="dcterms:W3CDTF">2013-09-01T14:35:39Z</dcterms:created>
  <dcterms:modified xsi:type="dcterms:W3CDTF">2020-04-29T15:08:06Z</dcterms:modified>
</cp:coreProperties>
</file>